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2_0.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0_2.bin" ContentType="application/vnd.openxmlformats-officedocument.oleObject"/>
  <Override PartName="/xl/embeddings/oleObject_10_3.bin" ContentType="application/vnd.openxmlformats-officedocument.oleObject"/>
  <Override PartName="/xl/embeddings/oleObject_10_4.bin" ContentType="application/vnd.openxmlformats-officedocument.oleObject"/>
  <Override PartName="/xl/embeddings/oleObject_10_5.bin" ContentType="application/vnd.openxmlformats-officedocument.oleObject"/>
  <Override PartName="/xl/embeddings/oleObject_10_6.bin" ContentType="application/vnd.openxmlformats-officedocument.oleObject"/>
  <Override PartName="/xl/embeddings/oleObject_10_7.bin" ContentType="application/vnd.openxmlformats-officedocument.oleObject"/>
  <Override PartName="/xl/embeddings/oleObject_10_8.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15" windowHeight="6915" tabRatio="807" firstSheet="1" activeTab="3"/>
  </bookViews>
  <sheets>
    <sheet name="Software Technical Assessment" sheetId="1" r:id="rId1"/>
    <sheet name="Documentation" sheetId="2" r:id="rId2"/>
    <sheet name="SOP 14" sheetId="3" r:id="rId3"/>
    <sheet name="Instructions" sheetId="4" r:id="rId4"/>
    <sheet name="Report Pages 1-3" sheetId="5" r:id="rId5"/>
    <sheet name="Report Page 4" sheetId="6" r:id="rId6"/>
    <sheet name="Data Entry" sheetId="7" r:id="rId7"/>
    <sheet name="Control Data" sheetId="8" r:id="rId8"/>
    <sheet name="Calculations" sheetId="9" r:id="rId9"/>
    <sheet name="CIPM Air Density" sheetId="10" r:id="rId10"/>
    <sheet name="Uncertainty Analysis" sheetId="11" r:id="rId11"/>
    <sheet name="Tables &amp; Lists" sheetId="12" r:id="rId12"/>
  </sheets>
  <externalReferences>
    <externalReference r:id="rId15"/>
    <externalReference r:id="rId16"/>
    <externalReference r:id="rId17"/>
    <externalReference r:id="rId18"/>
  </externalReferences>
  <definedNames>
    <definedName name="__123Graph_A" hidden="1">'[1]H145LPG'!$I$99:$I$118</definedName>
    <definedName name="__123Graph_B" hidden="1">'[1]H145LPG'!$J$99:$J$118</definedName>
    <definedName name="__123Graph_LBL_A" hidden="1">'[1]H145LPG'!$I$120:$I$120</definedName>
    <definedName name="__123Graph_LBL_B" hidden="1">'[1]H145LPG'!$J$120:$J$120</definedName>
    <definedName name="__123Graph_X" hidden="1">'[1]H145LPG'!$G$99:$G$118</definedName>
    <definedName name="_Fill" hidden="1">'[1]H145LPG'!$F$67:$F$73</definedName>
    <definedName name="_Table1_In1" localSheetId="3" hidden="1">#REF!</definedName>
    <definedName name="_Table1_In1" localSheetId="5" hidden="1">#REF!</definedName>
    <definedName name="_Table1_In1" localSheetId="4" hidden="1">#REF!</definedName>
    <definedName name="_Table1_In1" localSheetId="0" hidden="1">'[2]2 Liter'!$B$33</definedName>
    <definedName name="_Table1_In1" localSheetId="10" hidden="1">'[2]2 Liter'!$B$33</definedName>
    <definedName name="_Table1_In1" hidden="1">#REF!</definedName>
    <definedName name="_Table1_Out" localSheetId="3" hidden="1">#REF!</definedName>
    <definedName name="_Table1_Out" localSheetId="5" hidden="1">#REF!</definedName>
    <definedName name="_Table1_Out" localSheetId="4" hidden="1">#REF!</definedName>
    <definedName name="_Table1_Out" localSheetId="0" hidden="1">'[2]2 Liter'!$B$33</definedName>
    <definedName name="_Table1_Out" localSheetId="10" hidden="1">'[2]2 Liter'!$B$33</definedName>
    <definedName name="_Table1_Out" hidden="1">#REF!</definedName>
    <definedName name="_Table2_In1" localSheetId="7" hidden="1">'[3]2 Liter'!$B$33</definedName>
    <definedName name="_Table2_In1" localSheetId="1" hidden="1">'[4]2 Liter'!$B$33</definedName>
    <definedName name="_Table2_In1" localSheetId="3" hidden="1">'[4]2 Liter'!$B$33</definedName>
    <definedName name="_Table2_In1" localSheetId="5" hidden="1">'[4]2 Liter'!$B$33</definedName>
    <definedName name="_Table2_In1" localSheetId="4" hidden="1">'[4]2 Liter'!$B$33</definedName>
    <definedName name="_Table2_In1" hidden="1">'[2]2 Liter'!$B$33</definedName>
    <definedName name="_Table2_Out" localSheetId="7" hidden="1">'[3]2 Liter'!$B$33</definedName>
    <definedName name="_Table2_Out" localSheetId="1" hidden="1">'[4]2 Liter'!$B$33</definedName>
    <definedName name="_Table2_Out" localSheetId="3" hidden="1">'[4]2 Liter'!$B$33</definedName>
    <definedName name="_Table2_Out" localSheetId="5" hidden="1">'[4]2 Liter'!$B$33</definedName>
    <definedName name="_Table2_Out" localSheetId="4" hidden="1">'[4]2 Liter'!$B$33</definedName>
    <definedName name="_Table2_Out" hidden="1">'[2]2 Liter'!$B$33</definedName>
    <definedName name="_xlfn.AVERAGEIF" hidden="1">#NAME?</definedName>
    <definedName name="_xlfn.IFERROR" hidden="1">#NAME?</definedName>
    <definedName name="a">'Data Entry'!$J$12</definedName>
    <definedName name="A_tw1after">'Data Entry'!$I$69</definedName>
    <definedName name="A_tw1before">'Data Entry'!$I$67</definedName>
    <definedName name="A_tw2after">'Data Entry'!$I$84</definedName>
    <definedName name="A_tw2before">'Data Entry'!$I$82</definedName>
    <definedName name="B_tw1after">'Data Entry'!$I$101</definedName>
    <definedName name="B_tw1before">'Data Entry'!$I$99</definedName>
    <definedName name="B_tw2after">'Data Entry'!$I$117</definedName>
    <definedName name="B_tw2before">'Data Entry'!$I$115</definedName>
    <definedName name="BalUnits">'Data Entry'!$K$22</definedName>
    <definedName name="BestU">'Data Entry'!$F$24</definedName>
    <definedName name="BestUdf">'Data Entry'!$K$24</definedName>
    <definedName name="BestUk">'Data Entry'!$I$24</definedName>
    <definedName name="Cal_Date">'Data Entry'!$D$21</definedName>
    <definedName name="CCE">'Tables &amp; Lists'!$L$5:$M$14</definedName>
    <definedName name="CIPM_Pa1">'CIPM Air Density'!$D$7</definedName>
    <definedName name="CIPM_Pa2">'CIPM Air Density'!$D$13</definedName>
    <definedName name="Condition">'Data Entry'!$D$16</definedName>
    <definedName name="Cs_empty">'Data Entry'!$D$45</definedName>
    <definedName name="Cs_filled">'Data Entry'!$D$41</definedName>
    <definedName name="CustomerID">'Data Entry'!$K$4</definedName>
    <definedName name="Description">'Data Entry'!$C$10</definedName>
    <definedName name="Description_list">'Tables &amp; Lists'!$A$4:$A$9</definedName>
    <definedName name="df">'Data Entry'!$K$23</definedName>
    <definedName name="df_Ms_empty">'Data Entry'!$I$45</definedName>
    <definedName name="df_Ms_filled">'Data Entry'!$I$41</definedName>
    <definedName name="Final_k">'Uncertainty Analysis'!$K$100</definedName>
    <definedName name="Final_U">'Uncertainty Analysis'!$K$101</definedName>
    <definedName name="Final_Veff">'Uncertainty Analysis'!$K$99</definedName>
    <definedName name="Interval">'Data Entry'!$K$18</definedName>
    <definedName name="IntervalQ">'Data Entry'!$F$18</definedName>
    <definedName name="JO_No">'Data Entry'!$J$16</definedName>
    <definedName name="k">'Uncertainty Analysis'!$K$94</definedName>
    <definedName name="k_Ms_empty">'Data Entry'!$H$45</definedName>
    <definedName name="k_Ms_filled">'Data Entry'!$H$41</definedName>
    <definedName name="Line_w">'Data Entry'!$K$15</definedName>
    <definedName name="Material">'Data Entry'!$C$12</definedName>
    <definedName name="Material_List">'Tables &amp; Lists'!$L$5:$L$14</definedName>
    <definedName name="mcr">'Uncertainty Analysis'!$B$68</definedName>
    <definedName name="MeasuredU">'Uncertainty Analysis'!$K$95</definedName>
    <definedName name="MFG">'Data Entry'!$C$11</definedName>
    <definedName name="Ms_empty">'Calculations'!$C$17</definedName>
    <definedName name="Ms_empty_nom">'Data Entry'!$C$45</definedName>
    <definedName name="Ms_filled">'Calculations'!$C$16</definedName>
    <definedName name="Ms_filled_nom">'Data Entry'!$C$41</definedName>
    <definedName name="Neck_d">'Data Entry'!$C$15</definedName>
    <definedName name="Nom_Val_List">'Tables &amp; Lists'!$C$5:$C$12</definedName>
    <definedName name="NomVal">'Data Entry'!$D$13</definedName>
    <definedName name="NomValueUnit">'Data Entry'!$A$13</definedName>
    <definedName name="Obs1_Run1">'Calculations'!$B$21</definedName>
    <definedName name="Obs1_Run2">'Calculations'!$F$21</definedName>
    <definedName name="Obs2_Run1">'Calculations'!$B$22</definedName>
    <definedName name="Obs2_Run2">'Calculations'!$F$22</definedName>
    <definedName name="Obs3_Run1">'Calculations'!$B$23</definedName>
    <definedName name="Obs3_Run2">'Calculations'!$F$23</definedName>
    <definedName name="Obs4_Run1">'Calculations'!$B$24</definedName>
    <definedName name="Obs4_Run2">'Calculations'!$F$24</definedName>
    <definedName name="option">'Data Entry'!$J$25</definedName>
    <definedName name="P_0">'Uncertainty Analysis'!$B$73</definedName>
    <definedName name="P_1_Aend">'Data Entry'!$I$72</definedName>
    <definedName name="P_1_Astart">'Data Entry'!$I$63</definedName>
    <definedName name="P_1_Bend">'Data Entry'!$I$104</definedName>
    <definedName name="P_1_Bstart">'Data Entry'!$I$94</definedName>
    <definedName name="P_2_Aend">'Data Entry'!$I$87</definedName>
    <definedName name="P_2_Astart">'Data Entry'!$I$78</definedName>
    <definedName name="P_2_Bend">'Data Entry'!$I$120</definedName>
    <definedName name="P_2_Bstart">'Data Entry'!$I$110</definedName>
    <definedName name="P_corr">'Data Entry'!$D$51</definedName>
    <definedName name="P_Ms_empty">'Data Entry'!$J$45</definedName>
    <definedName name="P_Ms_filled">'Data Entry'!$J$41</definedName>
    <definedName name="Pa1">'Calculations'!$C$5</definedName>
    <definedName name="Pa2">'Calculations'!$C$6</definedName>
    <definedName name="Pn">'Uncertainty Analysis'!$D$69</definedName>
    <definedName name="PO_Number">'Data Entry'!$I$5</definedName>
    <definedName name="POC_Name">'Data Entry'!$I$6</definedName>
    <definedName name="POC_Phone">'Data Entry'!$I$7</definedName>
    <definedName name="PooledSD">'Data Entry'!$F$23</definedName>
    <definedName name="Pr">'Uncertainty Analysis'!$B$69</definedName>
    <definedName name="_xlnm.Print_Area" localSheetId="8">'Calculations'!$A$1:$H$50</definedName>
    <definedName name="_xlnm.Print_Area" localSheetId="9">'CIPM Air Density'!$A$1:$E$14</definedName>
    <definedName name="_xlnm.Print_Area" localSheetId="6">'Data Entry'!$A$1:$K$122</definedName>
    <definedName name="_xlnm.Print_Area" localSheetId="4">'Report Pages 1-3'!$A$1:$G$94</definedName>
    <definedName name="_xlnm.Print_Area" localSheetId="0">'Software Technical Assessment'!$A$1:$D$49</definedName>
    <definedName name="_xlnm.Print_Area" localSheetId="11">'Tables &amp; Lists'!$A$1:$H$21,'Tables &amp; Lists'!$J$1:$M$16</definedName>
    <definedName name="_xlnm.Print_Titles" localSheetId="1">'Documentation'!$1:$2</definedName>
    <definedName name="_xlnm.Print_Titles" localSheetId="3">'Instructions'!$11:$12</definedName>
    <definedName name="_xlnm.Print_Titles" localSheetId="10">'Uncertainty Analysis'!$1:$2</definedName>
    <definedName name="Pt">'Uncertainty Analysis'!$B$70</definedName>
    <definedName name="Pw1">'Calculations'!$C$12</definedName>
    <definedName name="Pw2">'Calculations'!$C$13</definedName>
    <definedName name="RefTemp">'Data Entry'!$J$13</definedName>
    <definedName name="RefTempUnit">'Data Entry'!$G$13</definedName>
    <definedName name="Reported_df">'Tables &amp; Lists'!$H$13</definedName>
    <definedName name="Reportedk">'Tables &amp; Lists'!$F$13</definedName>
    <definedName name="ReportedUnc">'Tables &amp; Lists'!$D$13</definedName>
    <definedName name="rh_corr">'Data Entry'!$D$52</definedName>
    <definedName name="RptNo">'Data Entry'!$I$1</definedName>
    <definedName name="SG_d">'Data Entry'!$G$15</definedName>
    <definedName name="Slicker_Stmt">'Tables &amp; Lists'!$A$21</definedName>
    <definedName name="SN">'Data Entry'!$J$11</definedName>
    <definedName name="Spec">'Data Entry'!$D$14</definedName>
    <definedName name="Spec_List">'Tables &amp; Lists'!$J$5:$J$15</definedName>
    <definedName name="t_air_corr">'Data Entry'!$D$50</definedName>
    <definedName name="t_air1_Aend">'Data Entry'!$I$71</definedName>
    <definedName name="t_air1_Astart">'Data Entry'!$I$62</definedName>
    <definedName name="t_air1_Bend">'Data Entry'!$I$103</definedName>
    <definedName name="t_air1_Bstart">'Data Entry'!$I$93</definedName>
    <definedName name="t_air2_Aend">'Data Entry'!$I$86</definedName>
    <definedName name="t_air2_Astart">'Data Entry'!$I$77</definedName>
    <definedName name="t_air2_Bend">'Data Entry'!$I$119</definedName>
    <definedName name="t_air2_Bstart">'Data Entry'!$I$109</definedName>
    <definedName name="t_water_corr">'Data Entry'!$D$49</definedName>
    <definedName name="Tech">'Data Entry'!$G$21</definedName>
    <definedName name="Tech_Int">'Data Entry'!$K$21</definedName>
    <definedName name="ToContain_Stmt">'Tables &amp; Lists'!$A$20</definedName>
    <definedName name="ToDeliver_Stmt">'Tables &amp; Lists'!$A$19</definedName>
    <definedName name="Tol">'Data Entry'!$J$14</definedName>
    <definedName name="tw1">'Calculations'!$C$10</definedName>
    <definedName name="tw2">'Calculations'!$C$11</definedName>
    <definedName name="TypeCal">'Data Entry'!$J$17</definedName>
    <definedName name="TypeCal_List">'Tables &amp; Lists'!$A$10:$A$11</definedName>
    <definedName name="U_1_Aend">'Data Entry'!$I$73</definedName>
    <definedName name="U_1_Astart">'Data Entry'!$I$64</definedName>
    <definedName name="U_1_Bend">'Data Entry'!$I$105</definedName>
    <definedName name="U_1_Bstart">'Data Entry'!$I$95</definedName>
    <definedName name="U_2_Aend">'Data Entry'!$I$88</definedName>
    <definedName name="U_2_Astart">'Data Entry'!$I$79</definedName>
    <definedName name="U_2_Bend">'Data Entry'!$I$121</definedName>
    <definedName name="U_2_Bstart">'Data Entry'!$I$111</definedName>
    <definedName name="U_Ms_empty">'Data Entry'!$F$45</definedName>
    <definedName name="U_Ms_filled">'Data Entry'!$F$41</definedName>
    <definedName name="U_P">'Data Entry'!$F$51</definedName>
    <definedName name="U_P_k">'Data Entry'!$H$51</definedName>
    <definedName name="U_P_Ms_empty">'Data Entry'!$K$45</definedName>
    <definedName name="U_P_Ms_filled">'Data Entry'!$K$41</definedName>
    <definedName name="U_rh">'Data Entry'!$F$52</definedName>
    <definedName name="U_rh_k">'Data Entry'!$H$52</definedName>
    <definedName name="U_t">'Data Entry'!$F$50</definedName>
    <definedName name="U_t_a_k">'Data Entry'!$H$50</definedName>
    <definedName name="U_t_w">'Data Entry'!$F$49</definedName>
    <definedName name="U_t_w_k">'Data Entry'!$H$49</definedName>
    <definedName name="UPa">'Uncertainty Analysis'!$B$71</definedName>
    <definedName name="Veff">'Uncertainty Analysis'!$K$93</definedName>
    <definedName name="VolTable">'Tables &amp; Lists'!$C$5:$H$12</definedName>
    <definedName name="WODate">'Data Entry'!$J$10</definedName>
  </definedNames>
  <calcPr fullCalcOnLoad="1"/>
</workbook>
</file>

<file path=xl/comments3.xml><?xml version="1.0" encoding="utf-8"?>
<comments xmlns="http://schemas.openxmlformats.org/spreadsheetml/2006/main">
  <authors>
    <author>Dan Wright</author>
  </authors>
  <commentList>
    <comment ref="A1" authorId="0">
      <text>
        <r>
          <rPr>
            <b/>
            <sz val="9"/>
            <color indexed="60"/>
            <rFont val="Tahoma"/>
            <family val="2"/>
          </rPr>
          <t>Unprotect the worksheet, then double click the document to open in Adobe Acrobat</t>
        </r>
      </text>
    </comment>
  </commentList>
</comments>
</file>

<file path=xl/sharedStrings.xml><?xml version="1.0" encoding="utf-8"?>
<sst xmlns="http://schemas.openxmlformats.org/spreadsheetml/2006/main" count="1170" uniqueCount="876">
  <si>
    <t>Mass Standards Report Values</t>
  </si>
  <si>
    <t>g</t>
  </si>
  <si>
    <t>Customer Information</t>
  </si>
  <si>
    <t>Serial Number</t>
  </si>
  <si>
    <t>True Mass Correction (mg)</t>
  </si>
  <si>
    <t>k-factor</t>
  </si>
  <si>
    <t>ID Code</t>
  </si>
  <si>
    <t>Observations</t>
  </si>
  <si>
    <t>Air Density Calculation Run 2</t>
  </si>
  <si>
    <t>Environmental Standard(s) Data</t>
  </si>
  <si>
    <t>Description</t>
  </si>
  <si>
    <t>Correction</t>
  </si>
  <si>
    <t>Type</t>
  </si>
  <si>
    <t>B</t>
  </si>
  <si>
    <t>A</t>
  </si>
  <si>
    <t>where</t>
  </si>
  <si>
    <t>Nominal Mass (g)</t>
  </si>
  <si>
    <t>t =</t>
  </si>
  <si>
    <t>Measurement Information</t>
  </si>
  <si>
    <t>mL</t>
  </si>
  <si>
    <t>Specify Procedure</t>
  </si>
  <si>
    <t>Specify Equation(s)</t>
  </si>
  <si>
    <t>Calculations</t>
  </si>
  <si>
    <t>Distribution</t>
  </si>
  <si>
    <t>Steel, Stainless</t>
  </si>
  <si>
    <t>Glass, Borosilicate (TICA)</t>
  </si>
  <si>
    <t>Glass, Borosilicate (TICB)</t>
  </si>
  <si>
    <t>Glass, Soda-Lime</t>
  </si>
  <si>
    <t>Artifact Information</t>
  </si>
  <si>
    <t>true mass of standard(s)</t>
  </si>
  <si>
    <t>NomValueUnit</t>
  </si>
  <si>
    <t>Vref</t>
  </si>
  <si>
    <t>Traceability Statement</t>
  </si>
  <si>
    <t>Uncertainty Statement</t>
  </si>
  <si>
    <r>
      <t>U</t>
    </r>
    <r>
      <rPr>
        <vertAlign val="subscript"/>
        <sz val="10"/>
        <rFont val="Trebuchet MS"/>
        <family val="2"/>
      </rPr>
      <t xml:space="preserve">s </t>
    </r>
    <r>
      <rPr>
        <sz val="10"/>
        <rFont val="Trebuchet MS"/>
        <family val="2"/>
      </rPr>
      <t>(mg)</t>
    </r>
  </si>
  <si>
    <t>PO#</t>
  </si>
  <si>
    <t>POC</t>
  </si>
  <si>
    <t>Phone</t>
  </si>
  <si>
    <t>Manufacture</t>
  </si>
  <si>
    <t>Material</t>
  </si>
  <si>
    <t>Nominal Value (cubic inch)</t>
  </si>
  <si>
    <t>Nominal Value (fluid ounce)</t>
  </si>
  <si>
    <t>Nominal Value (gallon)</t>
  </si>
  <si>
    <t>Nominal Value (gill)</t>
  </si>
  <si>
    <t>Nominal Value (liquid pint)</t>
  </si>
  <si>
    <t>Nominal Value (liquid quart)</t>
  </si>
  <si>
    <t>Nominal Value (liter)</t>
  </si>
  <si>
    <t>Nominal Value (milliliter)</t>
  </si>
  <si>
    <t>Relative Humidity (% RH)</t>
  </si>
  <si>
    <t>Cubical Coefficient of Exp. (/ºC) =</t>
  </si>
  <si>
    <t xml:space="preserve"> Pick Lists
for
Data Validation Cells</t>
  </si>
  <si>
    <t>gal</t>
  </si>
  <si>
    <t>in³</t>
  </si>
  <si>
    <t xml:space="preserve"> Barometric Pressure (mm Hg)</t>
  </si>
  <si>
    <t xml:space="preserve"> Temperature (ºC)</t>
  </si>
  <si>
    <t xml:space="preserve"> Relative Humidity (%)</t>
  </si>
  <si>
    <t xml:space="preserve"> Calculated Air Density (mg/cm3)</t>
  </si>
  <si>
    <r>
      <t>Trial 1 V</t>
    </r>
    <r>
      <rPr>
        <vertAlign val="subscript"/>
        <sz val="10"/>
        <rFont val="Trebuchet MS"/>
        <family val="2"/>
      </rPr>
      <t xml:space="preserve">t </t>
    </r>
    <r>
      <rPr>
        <sz val="10"/>
        <rFont val="Trebuchet MS"/>
        <family val="2"/>
      </rPr>
      <t>=</t>
    </r>
  </si>
  <si>
    <r>
      <t>Trial 2 V</t>
    </r>
    <r>
      <rPr>
        <vertAlign val="subscript"/>
        <sz val="10"/>
        <rFont val="Trebuchet MS"/>
        <family val="2"/>
      </rPr>
      <t xml:space="preserve">t </t>
    </r>
    <r>
      <rPr>
        <sz val="10"/>
        <rFont val="Trebuchet MS"/>
        <family val="2"/>
      </rPr>
      <t>=</t>
    </r>
  </si>
  <si>
    <r>
      <t>Run 1 ρ</t>
    </r>
    <r>
      <rPr>
        <vertAlign val="subscript"/>
        <sz val="10"/>
        <rFont val="Trebuchet MS"/>
        <family val="2"/>
      </rPr>
      <t xml:space="preserve">a </t>
    </r>
    <r>
      <rPr>
        <sz val="10"/>
        <rFont val="Trebuchet MS"/>
        <family val="2"/>
      </rPr>
      <t>=</t>
    </r>
  </si>
  <si>
    <r>
      <t>Run 2 ρ</t>
    </r>
    <r>
      <rPr>
        <vertAlign val="subscript"/>
        <sz val="10"/>
        <rFont val="Trebuchet MS"/>
        <family val="2"/>
      </rPr>
      <t xml:space="preserve">a </t>
    </r>
    <r>
      <rPr>
        <sz val="10"/>
        <rFont val="Trebuchet MS"/>
        <family val="2"/>
      </rPr>
      <t>=</t>
    </r>
  </si>
  <si>
    <r>
      <t>Run 1 ρ</t>
    </r>
    <r>
      <rPr>
        <vertAlign val="subscript"/>
        <sz val="10"/>
        <rFont val="Trebuchet MS"/>
        <family val="2"/>
      </rPr>
      <t xml:space="preserve">w </t>
    </r>
    <r>
      <rPr>
        <sz val="10"/>
        <rFont val="Trebuchet MS"/>
        <family val="2"/>
      </rPr>
      <t>=</t>
    </r>
  </si>
  <si>
    <r>
      <t>Run 2 ρ</t>
    </r>
    <r>
      <rPr>
        <vertAlign val="subscript"/>
        <sz val="10"/>
        <rFont val="Trebuchet MS"/>
        <family val="2"/>
      </rPr>
      <t xml:space="preserve">w </t>
    </r>
    <r>
      <rPr>
        <sz val="10"/>
        <rFont val="Trebuchet MS"/>
        <family val="2"/>
      </rPr>
      <t>=</t>
    </r>
  </si>
  <si>
    <r>
      <t>g/cm</t>
    </r>
    <r>
      <rPr>
        <vertAlign val="superscript"/>
        <sz val="10"/>
        <rFont val="Trebuchet MS"/>
        <family val="2"/>
      </rPr>
      <t>3</t>
    </r>
  </si>
  <si>
    <t>Symbol</t>
  </si>
  <si>
    <t>fl oz</t>
  </si>
  <si>
    <t>gi</t>
  </si>
  <si>
    <t>L</t>
  </si>
  <si>
    <t>Was a Calibration Interval Requested or is one Required?</t>
  </si>
  <si>
    <t>Calibration Report Statements</t>
  </si>
  <si>
    <t>Artifact Specifications</t>
  </si>
  <si>
    <t>Mass ID</t>
  </si>
  <si>
    <t>ºC</t>
  </si>
  <si>
    <t>Temperature, Air</t>
  </si>
  <si>
    <t>Temperature, Water</t>
  </si>
  <si>
    <t>Barometric Pressure</t>
  </si>
  <si>
    <t>Humidity</t>
  </si>
  <si>
    <t>Parameter</t>
  </si>
  <si>
    <t>Artifact Condition</t>
  </si>
  <si>
    <t>Technician</t>
  </si>
  <si>
    <t>Measurement Control</t>
  </si>
  <si>
    <t>Results Formatted For Calibration Report</t>
  </si>
  <si>
    <t>α =</t>
  </si>
  <si>
    <r>
      <t>V</t>
    </r>
    <r>
      <rPr>
        <i/>
        <vertAlign val="subscript"/>
        <sz val="11"/>
        <rFont val="Tahoma"/>
        <family val="2"/>
      </rPr>
      <t>t</t>
    </r>
    <r>
      <rPr>
        <i/>
        <sz val="11"/>
        <rFont val="Tahoma"/>
        <family val="2"/>
      </rPr>
      <t xml:space="preserve"> =</t>
    </r>
  </si>
  <si>
    <r>
      <t>M</t>
    </r>
    <r>
      <rPr>
        <i/>
        <vertAlign val="subscript"/>
        <sz val="11"/>
        <rFont val="Tahoma"/>
        <family val="2"/>
      </rPr>
      <t>S</t>
    </r>
    <r>
      <rPr>
        <i/>
        <sz val="11"/>
        <rFont val="Tahoma"/>
        <family val="2"/>
      </rPr>
      <t xml:space="preserve"> =</t>
    </r>
  </si>
  <si>
    <r>
      <t>O</t>
    </r>
    <r>
      <rPr>
        <i/>
        <vertAlign val="subscript"/>
        <sz val="11"/>
        <rFont val="Tahoma"/>
        <family val="2"/>
      </rPr>
      <t>n</t>
    </r>
    <r>
      <rPr>
        <i/>
        <sz val="11"/>
        <rFont val="Tahoma"/>
        <family val="2"/>
      </rPr>
      <t xml:space="preserve"> =</t>
    </r>
  </si>
  <si>
    <r>
      <t>ρ</t>
    </r>
    <r>
      <rPr>
        <i/>
        <vertAlign val="subscript"/>
        <sz val="11"/>
        <rFont val="Tahoma"/>
        <family val="2"/>
      </rPr>
      <t>a</t>
    </r>
    <r>
      <rPr>
        <i/>
        <sz val="11"/>
        <rFont val="Tahoma"/>
        <family val="2"/>
      </rPr>
      <t xml:space="preserve"> =</t>
    </r>
  </si>
  <si>
    <r>
      <t>ρ</t>
    </r>
    <r>
      <rPr>
        <i/>
        <vertAlign val="subscript"/>
        <sz val="11"/>
        <rFont val="Tahoma"/>
        <family val="2"/>
      </rPr>
      <t>s</t>
    </r>
    <r>
      <rPr>
        <i/>
        <sz val="11"/>
        <rFont val="Tahoma"/>
        <family val="2"/>
      </rPr>
      <t xml:space="preserve"> =</t>
    </r>
  </si>
  <si>
    <r>
      <t>ρ</t>
    </r>
    <r>
      <rPr>
        <i/>
        <vertAlign val="subscript"/>
        <sz val="11"/>
        <rFont val="Tahoma"/>
        <family val="2"/>
      </rPr>
      <t>w</t>
    </r>
    <r>
      <rPr>
        <i/>
        <sz val="11"/>
        <rFont val="Tahoma"/>
        <family val="2"/>
      </rPr>
      <t xml:space="preserve"> =</t>
    </r>
  </si>
  <si>
    <r>
      <t>V</t>
    </r>
    <r>
      <rPr>
        <i/>
        <vertAlign val="subscript"/>
        <sz val="11"/>
        <rFont val="Tahoma"/>
        <family val="2"/>
      </rPr>
      <t>ref</t>
    </r>
    <r>
      <rPr>
        <i/>
        <sz val="11"/>
        <rFont val="Tahoma"/>
        <family val="2"/>
      </rPr>
      <t xml:space="preserve"> =</t>
    </r>
  </si>
  <si>
    <r>
      <t>t</t>
    </r>
    <r>
      <rPr>
        <i/>
        <vertAlign val="subscript"/>
        <sz val="11"/>
        <rFont val="Tahoma"/>
        <family val="2"/>
      </rPr>
      <t>ref</t>
    </r>
    <r>
      <rPr>
        <i/>
        <sz val="11"/>
        <rFont val="Tahoma"/>
        <family val="2"/>
      </rPr>
      <t xml:space="preserve"> =</t>
    </r>
  </si>
  <si>
    <t>g/cm³</t>
  </si>
  <si>
    <t>Air Temperature (ºC)</t>
  </si>
  <si>
    <t>Barometric Pressure (mm Hg)</t>
  </si>
  <si>
    <r>
      <t>Density (g/cm</t>
    </r>
    <r>
      <rPr>
        <vertAlign val="superscript"/>
        <sz val="10"/>
        <rFont val="Trebuchet MS"/>
        <family val="2"/>
      </rPr>
      <t>3)</t>
    </r>
  </si>
  <si>
    <t>/ºC</t>
  </si>
  <si>
    <t>Volume at Reference Temperature</t>
  </si>
  <si>
    <t>Data Entry</t>
  </si>
  <si>
    <t>Date Received</t>
  </si>
  <si>
    <t>Tables &amp; Lists</t>
  </si>
  <si>
    <t>CIPM Air Density</t>
  </si>
  <si>
    <t>Uncertainty Analysis</t>
  </si>
  <si>
    <t>Documentation</t>
  </si>
  <si>
    <t>Mass Standard(s) Data</t>
  </si>
  <si>
    <t>Air Density Determinations</t>
  </si>
  <si>
    <t>Water Density Determinations</t>
  </si>
  <si>
    <t>Volume Determinations</t>
  </si>
  <si>
    <t>trial 1 &amp; 2 volume at measured temperature</t>
  </si>
  <si>
    <t>trial 1 &amp; 2 volume at reference temperature</t>
  </si>
  <si>
    <t>average of trial 1 &amp; 2 at reference temp.</t>
  </si>
  <si>
    <t>Report Number:</t>
  </si>
  <si>
    <t>Start Time (hh:mm)</t>
  </si>
  <si>
    <t>End Time (hh:mm)</t>
  </si>
  <si>
    <t>cm³/ºC</t>
  </si>
  <si>
    <t>Silica, Fused (Quartz)</t>
  </si>
  <si>
    <t>Plastic, Polypropylene</t>
  </si>
  <si>
    <t>Plastic, Polycarbonate</t>
  </si>
  <si>
    <t>Plastic, Polystyrene</t>
  </si>
  <si>
    <t>Date of Calibration</t>
  </si>
  <si>
    <r>
      <t>Uρ</t>
    </r>
    <r>
      <rPr>
        <vertAlign val="subscript"/>
        <sz val="10"/>
        <rFont val="Trebuchet MS"/>
        <family val="2"/>
      </rPr>
      <t xml:space="preserve">s </t>
    </r>
    <r>
      <rPr>
        <sz val="10"/>
        <rFont val="Trebuchet MS"/>
        <family val="2"/>
      </rPr>
      <t>(g/cm</t>
    </r>
    <r>
      <rPr>
        <vertAlign val="superscript"/>
        <sz val="10"/>
        <rFont val="Trebuchet MS"/>
        <family val="2"/>
      </rPr>
      <t>3</t>
    </r>
    <r>
      <rPr>
        <sz val="10"/>
        <rFont val="Trebuchet MS"/>
        <family val="2"/>
      </rPr>
      <t>) k=1</t>
    </r>
  </si>
  <si>
    <t>NIST HB 105-2</t>
  </si>
  <si>
    <t>OIML R 43</t>
  </si>
  <si>
    <t>User Specified</t>
  </si>
  <si>
    <t>Specification</t>
  </si>
  <si>
    <t>Nominal Value (mL)</t>
  </si>
  <si>
    <t>NIST HB 105-3</t>
  </si>
  <si>
    <t>N/A</t>
  </si>
  <si>
    <t>Not Applicable</t>
  </si>
  <si>
    <t>Uncertainty Evaluation</t>
  </si>
  <si>
    <t>Expanded Uncertainty =</t>
  </si>
  <si>
    <t>Tolerance Evaluation</t>
  </si>
  <si>
    <t>Criteria: The measured volume minus the nominal volume shall not differ more than the maximum permissible error minus the expanded uncertainty.</t>
  </si>
  <si>
    <t>Volume Error =</t>
  </si>
  <si>
    <t>Tolerance</t>
  </si>
  <si>
    <t>Test Measure</t>
  </si>
  <si>
    <t>Slicker Plate Standard</t>
  </si>
  <si>
    <t>Prover</t>
  </si>
  <si>
    <t>Graduated Cylinder</t>
  </si>
  <si>
    <t>Volumetric Flask</t>
  </si>
  <si>
    <t>Steel, Prover, Low Carbon</t>
  </si>
  <si>
    <t>Steel, Terneplate</t>
  </si>
  <si>
    <t>ASTM E 1272, Class A</t>
  </si>
  <si>
    <t>ASTM E 1272, Class B</t>
  </si>
  <si>
    <t>ASTM E 288, Class A</t>
  </si>
  <si>
    <t>ASTM E 288, Class A "Wide Mouth"</t>
  </si>
  <si>
    <t>ASTM E 288, Class B</t>
  </si>
  <si>
    <t>ASTM E 288, Class B "Wide Mouth"</t>
  </si>
  <si>
    <t>Volumetric Container</t>
  </si>
  <si>
    <t>df</t>
  </si>
  <si>
    <t>U</t>
  </si>
  <si>
    <t>Air Density</t>
  </si>
  <si>
    <t>Water Density</t>
  </si>
  <si>
    <t>Normal</t>
  </si>
  <si>
    <r>
      <t>M</t>
    </r>
    <r>
      <rPr>
        <i/>
        <vertAlign val="subscript"/>
        <sz val="11"/>
        <rFont val="Tahoma"/>
        <family val="2"/>
      </rPr>
      <t>S1</t>
    </r>
    <r>
      <rPr>
        <i/>
        <sz val="11"/>
        <rFont val="Tahoma"/>
        <family val="2"/>
      </rPr>
      <t xml:space="preserve"> =</t>
    </r>
  </si>
  <si>
    <r>
      <t>M</t>
    </r>
    <r>
      <rPr>
        <i/>
        <vertAlign val="subscript"/>
        <sz val="11"/>
        <rFont val="Tahoma"/>
        <family val="2"/>
      </rPr>
      <t>S2</t>
    </r>
    <r>
      <rPr>
        <i/>
        <sz val="11"/>
        <rFont val="Tahoma"/>
        <family val="2"/>
      </rPr>
      <t xml:space="preserve"> =</t>
    </r>
  </si>
  <si>
    <t>Balance Observations</t>
  </si>
  <si>
    <t>Balance ID Code</t>
  </si>
  <si>
    <t>Unit</t>
  </si>
  <si>
    <t>REPORT OF CALIBRATION</t>
  </si>
  <si>
    <t>Issued To:</t>
  </si>
  <si>
    <t>Point of Contact:</t>
  </si>
  <si>
    <t>Purchase Order Number:</t>
  </si>
  <si>
    <t>This is to certify that the information contained in this report is true and correct as of the date of calibration.</t>
  </si>
  <si>
    <t>Date of Issue</t>
  </si>
  <si>
    <t>WSDA Weights and Measures Metrology Laboratory</t>
  </si>
  <si>
    <t>Artifact(s) Description</t>
  </si>
  <si>
    <t>Test Item:</t>
  </si>
  <si>
    <t>Date Received:</t>
  </si>
  <si>
    <t>Specification:</t>
  </si>
  <si>
    <t>Serial Number:</t>
  </si>
  <si>
    <t>Manufacture:</t>
  </si>
  <si>
    <t>Material:</t>
  </si>
  <si>
    <t>Calibration Information</t>
  </si>
  <si>
    <t>Metrologist:</t>
  </si>
  <si>
    <t>Temperature:</t>
  </si>
  <si>
    <t>Procedure:</t>
  </si>
  <si>
    <t>Humidity:</t>
  </si>
  <si>
    <t>Condition:</t>
  </si>
  <si>
    <t>Water Temperature:</t>
  </si>
  <si>
    <t>Laboratory Reference Standards Used</t>
  </si>
  <si>
    <t>Cert. Number</t>
  </si>
  <si>
    <t>Cal Date</t>
  </si>
  <si>
    <t>Cal Due</t>
  </si>
  <si>
    <t>Pertinent Information</t>
  </si>
  <si>
    <t>● The results listed in this report relate only to the artifacts described and extent of calibrations performed.</t>
  </si>
  <si>
    <t>Calibration Results</t>
  </si>
  <si>
    <t>Pressure:</t>
  </si>
  <si>
    <r>
      <t>●</t>
    </r>
    <r>
      <rPr>
        <sz val="7"/>
        <color indexed="8"/>
        <rFont val="Trebuchet MS"/>
        <family val="2"/>
      </rPr>
      <t xml:space="preserve">  </t>
    </r>
    <r>
      <rPr>
        <sz val="10"/>
        <color indexed="8"/>
        <rFont val="Trebuchet MS"/>
        <family val="2"/>
      </rPr>
      <t>In-accordance-with Washington Administrative Code (WAC) Chapter 16-663, Service Agents -- Reporting, Test Procedures, Standards And Calibration Of Weighing And Measuring Devices, Section 16-663-130, Adequacy of standards and submission of standards for certification, paragraph 2, ‘… All standards used for servicing, repairing and/or calibrating commercial weighing and measuring devices must be submitted at least every two years for examination and certification…’</t>
    </r>
  </si>
  <si>
    <t xml:space="preserve">● In-accordance-with ISO/IEC FDIS 17025, General Requirements for the Competence of Testing and Calibration Laboratories, paragraph 5.10.4.4 ‘A calibration certificate (or calibration label) shall not contain any recommendation on the calibration interval except where this has been agreed with the client. This requirement may be superseded by legal regulations.’ </t>
  </si>
  <si>
    <t>Reference
Temperature</t>
  </si>
  <si>
    <t>Cubical Coefficient of Expansion</t>
  </si>
  <si>
    <t>Delivery Type:</t>
  </si>
  <si>
    <t>Job Order #:</t>
  </si>
  <si>
    <t>Balance:</t>
  </si>
  <si>
    <t>Customer ID</t>
  </si>
  <si>
    <t>Date</t>
  </si>
  <si>
    <t>Test Number</t>
  </si>
  <si>
    <t>Start Humidity (% RH)</t>
  </si>
  <si>
    <t>Finish Humidity (% RH)</t>
  </si>
  <si>
    <t>Start Air Temp. (ºC)</t>
  </si>
  <si>
    <t>Finish Air Temp. (ºC)</t>
  </si>
  <si>
    <r>
      <t>Water Temp. (</t>
    </r>
    <r>
      <rPr>
        <sz val="10"/>
        <rFont val="Trebuchet MS"/>
        <family val="2"/>
      </rPr>
      <t>Trial 1</t>
    </r>
    <r>
      <rPr>
        <sz val="11"/>
        <rFont val="Trebuchet MS"/>
        <family val="2"/>
      </rPr>
      <t>) (ºC)</t>
    </r>
  </si>
  <si>
    <r>
      <t>Water Temp. (</t>
    </r>
    <r>
      <rPr>
        <sz val="10"/>
        <rFont val="Trebuchet MS"/>
        <family val="2"/>
      </rPr>
      <t>Trial 2</t>
    </r>
    <r>
      <rPr>
        <sz val="11"/>
        <rFont val="Trebuchet MS"/>
        <family val="2"/>
      </rPr>
      <t>) (ºC)</t>
    </r>
  </si>
  <si>
    <t>Initials</t>
  </si>
  <si>
    <t>DAW</t>
  </si>
  <si>
    <t>Changed entire workbook to be more user friendly. Updated uncertainties.</t>
  </si>
  <si>
    <t>Corrected errors found during validation. Changed uncertainty analysis to the Kragten spreadsheet. Added tolerances for volumetric vessels.</t>
  </si>
  <si>
    <t>Added unit column to temperature standards. Reformatted standards tables to make it easier to enter or delete standards.</t>
  </si>
  <si>
    <t>Rounded air density formula to 6 places and water density formula to 8 places.</t>
  </si>
  <si>
    <t xml:space="preserve">Std. Deviation of the Trials = </t>
  </si>
  <si>
    <t>Deleted Table 9.1 on 'Tables &amp; Lists' worksheet.</t>
  </si>
  <si>
    <t>Added NIST standard to procedure on 'Reports Pages 1-3' worksheet.</t>
  </si>
  <si>
    <t>Changed cell 26 of 'Uncertainty Analysis' worksheet to reflect 'PooledSD' instead of 'Rmean'.</t>
  </si>
  <si>
    <t>Modified row 33 of 'Calculations' worksheet to reflect standard deviation of trials instead of range of trials.</t>
  </si>
  <si>
    <t>Renamed 'Rmean' to 'PooledSD' in cell I21 on 'Data Entry' worksheet.</t>
  </si>
  <si>
    <t>Modified row 21 of 'Data Entry' worksheet to reflect standard deviation of trials instead of range of trials.</t>
  </si>
  <si>
    <t>Updated water density formula to the Patterson/Morris equation provided by NIST, WMD.</t>
  </si>
  <si>
    <t>Added new uncertainty analysis.</t>
  </si>
  <si>
    <t>Standards Used</t>
  </si>
  <si>
    <t>Standard Item ID</t>
  </si>
  <si>
    <t>Report Number</t>
  </si>
  <si>
    <t>Calibration Date</t>
  </si>
  <si>
    <t>Calibration Due</t>
  </si>
  <si>
    <t>Water temperature Trial 1 =</t>
  </si>
  <si>
    <t>Water temperature Trial 2 =</t>
  </si>
  <si>
    <t>º C</t>
  </si>
  <si>
    <t>Converted to Excel 2007, updated links.</t>
  </si>
  <si>
    <t>Color coded data entry cells. Edited all comments.</t>
  </si>
  <si>
    <t>Added Standards Used table on Data Entry worksheet.</t>
  </si>
  <si>
    <t>Name</t>
  </si>
  <si>
    <t>Range</t>
  </si>
  <si>
    <t>Range Names</t>
  </si>
  <si>
    <t>Removed tolerance worksheet. Linked to Volume Tolerances workbook.</t>
  </si>
  <si>
    <t>Added information worksheet.</t>
  </si>
  <si>
    <t>Validated links and updated data.</t>
  </si>
  <si>
    <t>Validated workbook, file name "WA2009-10-29 WAMRF-005 (Rev. 18), SOP 14 Workbook V&amp;V.pdf". Electronic files in laboratory computer C:\ drive and agency server H:\ drive and a paper copy in lab files.</t>
  </si>
  <si>
    <t>='Data Entry'!$I$62</t>
  </si>
  <si>
    <t>='Data Entry'!$I$63</t>
  </si>
  <si>
    <t>=Calculations!$C$5</t>
  </si>
  <si>
    <t>=Calculations!$C$10</t>
  </si>
  <si>
    <t>=Calculations!$C$11</t>
  </si>
  <si>
    <t>a</t>
  </si>
  <si>
    <t>='Data Entry'!$D$13</t>
  </si>
  <si>
    <t>BalUnits</t>
  </si>
  <si>
    <t>Cal_Date</t>
  </si>
  <si>
    <t>CCE</t>
  </si>
  <si>
    <t>CIPM_Pa1</t>
  </si>
  <si>
    <t>CIPM_Pa2</t>
  </si>
  <si>
    <t>Condition</t>
  </si>
  <si>
    <t>CustomerID</t>
  </si>
  <si>
    <t>='Data Entry'!$C$10</t>
  </si>
  <si>
    <t>Interval</t>
  </si>
  <si>
    <t>IntervalQ</t>
  </si>
  <si>
    <t>='Data Entry'!$C$12</t>
  </si>
  <si>
    <t>MFG</t>
  </si>
  <si>
    <t>='Data Entry'!$C$11</t>
  </si>
  <si>
    <t>NomVal</t>
  </si>
  <si>
    <t>='Data Entry'!$I$79</t>
  </si>
  <si>
    <t>option</t>
  </si>
  <si>
    <t>P_corr</t>
  </si>
  <si>
    <t>='Data Entry'!$D$49</t>
  </si>
  <si>
    <t>PooledSD</t>
  </si>
  <si>
    <t>RefTemp</t>
  </si>
  <si>
    <t>RefTempUnit</t>
  </si>
  <si>
    <t>RptNo</t>
  </si>
  <si>
    <t>SN</t>
  </si>
  <si>
    <t>Spec</t>
  </si>
  <si>
    <t>t_air_corr</t>
  </si>
  <si>
    <t>='Data Entry'!$I$73</t>
  </si>
  <si>
    <t>t_water_corr</t>
  </si>
  <si>
    <t>Tech</t>
  </si>
  <si>
    <t>TypeCal</t>
  </si>
  <si>
    <t>='Data Entry'!$D$50</t>
  </si>
  <si>
    <t>='Data Entry'!$F$49</t>
  </si>
  <si>
    <t>='Data Entry'!$F$50</t>
  </si>
  <si>
    <t>VolTable</t>
  </si>
  <si>
    <t>WODate</t>
  </si>
  <si>
    <t>No.</t>
  </si>
  <si>
    <t>Open as a new workbook and save using the Report Number and customer name.</t>
  </si>
  <si>
    <t>Conductivity Meter Indication</t>
  </si>
  <si>
    <t>µS/cm @ 25 ºC</t>
  </si>
  <si>
    <t>Added water purity test to data entry sheet, modified sentence for water quality in report. (AR0166)</t>
  </si>
  <si>
    <t>Validated workbook, file name "WA2010-03-19 WAMRF-005 (Rev. 19), SOP 14 Workbook V&amp;V.pdf". Electronic files in laboratory computer C:\ drive and agency server H:\ drive and a paper copy in lab files.</t>
  </si>
  <si>
    <t>Instructions</t>
  </si>
  <si>
    <t>Software Technical Assessment</t>
  </si>
  <si>
    <t>Software Description</t>
  </si>
  <si>
    <t>Approval Date</t>
  </si>
  <si>
    <t>Assessed By</t>
  </si>
  <si>
    <t>Dan Wright</t>
  </si>
  <si>
    <t>Approved By</t>
  </si>
  <si>
    <t>Codes</t>
  </si>
  <si>
    <t>Assessment</t>
  </si>
  <si>
    <t>Pass/Fail</t>
  </si>
  <si>
    <t>Evidence</t>
  </si>
  <si>
    <t>A. Software Inspection</t>
  </si>
  <si>
    <t>Spreadsheet is clear and makes sense</t>
  </si>
  <si>
    <t xml:space="preserve">There are instructions for use </t>
  </si>
  <si>
    <t>Instructions and data input appear on the visible portion of the first worksheet</t>
  </si>
  <si>
    <t>Data-entry fields are labeled and color coded (it is recommended to avoid red and green)</t>
  </si>
  <si>
    <t>The Standard Operating Procedure (SOP) used is clearly specified</t>
  </si>
  <si>
    <t>The number of digits to be rounded to is specified</t>
  </si>
  <si>
    <t>The user is warned/notified whenever data-entry fields are left blank</t>
  </si>
  <si>
    <t>Data-entry fields are “blank” when opened, preventing loss of old data and ensuring that old data is not used with the current calculations</t>
  </si>
  <si>
    <t>The software opens at the right location within the file</t>
  </si>
  <si>
    <t>Unused fields/cells are locked</t>
  </si>
  <si>
    <t>Rows/columns that the operator need not see are hidden</t>
  </si>
  <si>
    <t>Unused sheets are removed</t>
  </si>
  <si>
    <t>Worksheets are named appropriately</t>
  </si>
  <si>
    <t>B. Mathematical Specification</t>
  </si>
  <si>
    <t>The correct SOP is used</t>
  </si>
  <si>
    <t>The formulae and methods chosen from that SOP are specified</t>
  </si>
  <si>
    <t>Sources and references for formulae are specified</t>
  </si>
  <si>
    <t>The chosen SOP, its methods, and its formulae, are appropriate to the level of precision/uncertainty</t>
  </si>
  <si>
    <t>C. Code review</t>
  </si>
  <si>
    <t>The formulae in the fields exactly match the SOP</t>
  </si>
  <si>
    <t>Repeated calculations appropriately reference the correct cells</t>
  </si>
  <si>
    <t>Calculations, when tested using standard data or reference test data, show appropriate accuracy</t>
  </si>
  <si>
    <t>Rounding is done at the appropriate locations in the file</t>
  </si>
  <si>
    <t>D. Numerical Stability</t>
  </si>
  <si>
    <t>Calculations are stable as determined by an evaluation that uses large numbers and small differences</t>
  </si>
  <si>
    <t>Fields, therefore their content, are categorized as “Number” and not “General” when appropriate, and vice versa</t>
  </si>
  <si>
    <t>“Number” cells are locked to a limited number of decimal places; this limit is appropriate to the values being used</t>
  </si>
  <si>
    <t>E. Component Testing</t>
  </si>
  <si>
    <t>Each macro used is functional</t>
  </si>
  <si>
    <t>Each command/button is functional</t>
  </si>
  <si>
    <t>Combinations of interdependent macros are functional</t>
  </si>
  <si>
    <t>Plotted graphs are accurate</t>
  </si>
  <si>
    <t>Worksheets/reports print properly, if needed to</t>
  </si>
  <si>
    <t>Conditional (color and non-color) formatting is functional</t>
  </si>
  <si>
    <t>F. Numerical Reference</t>
  </si>
  <si>
    <t>Look-up tables and lists match the latest calibration report.</t>
  </si>
  <si>
    <t>Uncertainties match the latest Scope</t>
  </si>
  <si>
    <t>Values that reference another workbook or spreadsheet are dated</t>
  </si>
  <si>
    <t>When a master list’s date is updated, the file references (A) an old value, (B) a default value, (C) displays zero or (D) an error message, as desired by the user</t>
  </si>
  <si>
    <t>G. Embedded Data Evaluation</t>
  </si>
  <si>
    <t>Embedded data (conversion factors, reference values, etc) is correct</t>
  </si>
  <si>
    <t>The evaluation of the embedded data is dated and documented</t>
  </si>
  <si>
    <t>H. Back-to-Back Testing</t>
  </si>
  <si>
    <t>Newer spreadsheets and older spreadsheets agree down to the level of intermediate calculations; this evaluation is dated and documented</t>
  </si>
  <si>
    <t>I. Analysis With Out Computer Assistance</t>
  </si>
  <si>
    <t>Hand calculations agree with those generated by the spreadsheet, or if they disagree, the differences are significantly smaller than the reported uncertainty</t>
  </si>
  <si>
    <t>J. Security</t>
  </si>
  <si>
    <t>Equation and calculation cells are protected against inadvertent editing</t>
  </si>
  <si>
    <t>Cells are locked in place; they cannot be moved/dragged</t>
  </si>
  <si>
    <t>Confidentiality of passwords is appropriate</t>
  </si>
  <si>
    <t>Files are backed up automatically</t>
  </si>
  <si>
    <t>Additional back-up is available at alternate facilities</t>
  </si>
  <si>
    <t>Files on network drives cannot be accidentally deleted</t>
  </si>
  <si>
    <t>This workbook was developed by Dan Wright, Washington State Department of Agriculture, Weights and Measures Program,  Metrology Laboratory. It follows the procedure documented in NISTIR 7383, SOP 14. NIST WMD has evaluated this spreadsheet and provided useful feedback in its development.</t>
  </si>
  <si>
    <t>This workbook must be validated by the user before use and after any changes or modifications.</t>
  </si>
  <si>
    <t>Enter the appropriate data in the light yellow cells on the Data Entry worksheet.</t>
  </si>
  <si>
    <t>Modify both report worksheets for your laboratory and audit to insure the report meets requirements of ISO/IEC 17025. (hint: I convert the report worksheets to a .pdf file to keep as a permanent copy).</t>
  </si>
  <si>
    <t>Modified data entry cells for internal references verses external references where possible. Deleted unnecessary list on the Tables &amp; Lists worksheet.</t>
  </si>
  <si>
    <t>Modified Observations area of the Data Entry worksheet to clarify water temperature measurements.</t>
  </si>
  <si>
    <t>Pass</t>
  </si>
  <si>
    <t>Light yellow for blank, light blue for non-blank cells</t>
  </si>
  <si>
    <t>The workbook opens to the instruction worksheet</t>
  </si>
  <si>
    <t>Instructions worksheet</t>
  </si>
  <si>
    <t>In data validation cells only</t>
  </si>
  <si>
    <t>Data entry fields on the workbook template are blank. Instructions tell user to break links before saving after a calibration is performed</t>
  </si>
  <si>
    <t>Opens to the Instruction worksheet</t>
  </si>
  <si>
    <t>Unused cells are locked and worksheets are protected</t>
  </si>
  <si>
    <t>No hidden cells or worksheets</t>
  </si>
  <si>
    <t>No unused worksheets</t>
  </si>
  <si>
    <t>Worksheets are appropriately named</t>
  </si>
  <si>
    <t>Specified on Uncertainty worksheet</t>
  </si>
  <si>
    <t>SOP 14 in embedded</t>
  </si>
  <si>
    <t>For Volume I Gravimetric calibrations</t>
  </si>
  <si>
    <t>Formulae on calculation worksheet match SOP</t>
  </si>
  <si>
    <t xml:space="preserve">Tested using SOP example </t>
  </si>
  <si>
    <t>Formatted correctly throughout workbook</t>
  </si>
  <si>
    <t>No command buttons</t>
  </si>
  <si>
    <t>On data entry and calculation worksheets</t>
  </si>
  <si>
    <t>Test on uncertainty worksheet will not allow an uncertainty that is better than the latest published scope</t>
  </si>
  <si>
    <t>Evaluated and filed</t>
  </si>
  <si>
    <t>No hand calculations were done</t>
  </si>
  <si>
    <t>Cells are locked and worksheets are password protected</t>
  </si>
  <si>
    <t>State Metrologist and Program Manager only have access</t>
  </si>
  <si>
    <t>Backed up to agency servers weekly</t>
  </si>
  <si>
    <t>Agency IT backs up servers weekly</t>
  </si>
  <si>
    <t>Agency IT keeps an additional back up at a remote location</t>
  </si>
  <si>
    <t>Validated workbook, file name "WA2010-09-03 WAMRF-005 (Rev. 19), SOP 14 Workbook V&amp;V.pdf". Electronic files in laboratory computer C:\ drive and agency server H:\ drive and a paper copy in lab files.</t>
  </si>
  <si>
    <t xml:space="preserve">Water density results are rounded to 8 digits (g/cm³) according to SOP 14 </t>
  </si>
  <si>
    <t xml:space="preserve">Air density results are rounded to 9 digits (g/cm³) according to SOP 14 </t>
  </si>
  <si>
    <t>Air Density, Water Density, and end volume results rounded</t>
  </si>
  <si>
    <t>No issues encountered</t>
  </si>
  <si>
    <t>Where appropriate</t>
  </si>
  <si>
    <t>Linked tables are validated and up to date</t>
  </si>
  <si>
    <t>Linked references have been validated and are up to date</t>
  </si>
  <si>
    <t>All embedded data has been validated</t>
  </si>
  <si>
    <t>Records keep in Software Validation folder on computer hard drive</t>
  </si>
  <si>
    <t>Locked and password protected</t>
  </si>
  <si>
    <t>Criteria: The expanded uncertainty must be less than 1/3 of the stated tolerance. For NIST HB 105-3, the expanded uncertainty must be less than 0.05 % of the measured volume.</t>
  </si>
  <si>
    <t>Validated external links. Updated NIST 105-3 uncertainty requirement on the calculations worksheet.</t>
  </si>
  <si>
    <t>Reformatted conditional formatting.</t>
  </si>
  <si>
    <t>Redefined water temperature cells, added water temperature to Calculations sheet for each trial.</t>
  </si>
  <si>
    <t>As specified in SOP</t>
  </si>
  <si>
    <t>Graphs on uncertainty worksheet display properly</t>
  </si>
  <si>
    <t>Worksheets formatted for printing as necessary</t>
  </si>
  <si>
    <t>=Calculations!$C$6</t>
  </si>
  <si>
    <t>=Calculations!$C$12</t>
  </si>
  <si>
    <t>=Calculations!$C$13</t>
  </si>
  <si>
    <t>='Data Entry'!$I$88</t>
  </si>
  <si>
    <t>=Calculations!$C$16</t>
  </si>
  <si>
    <t>=Calculations!$C$17</t>
  </si>
  <si>
    <t>='Data Entry'!$A$13</t>
  </si>
  <si>
    <t>='Data Entry'!$I$72</t>
  </si>
  <si>
    <t>Print_Titles</t>
  </si>
  <si>
    <t>='Data Entry'!$I$89</t>
  </si>
  <si>
    <t>Tol</t>
  </si>
  <si>
    <t>='Data Entry'!$D$51</t>
  </si>
  <si>
    <t>='Data Entry'!$F$51</t>
  </si>
  <si>
    <t>The uncertainty analysis used in this workbook is only one way of determining uncertainties for this measurement. Please review and insure this method meets your requirements and expectations. Modify as necessary.</t>
  </si>
  <si>
    <t>According to NISTIR 7383, SOP 14 and GLP 10, ASTM Type III or IV Reagent Water is recommended as adequate for gravimetric calibration purposes.</t>
  </si>
  <si>
    <t>Added Software Technical Assessment worksheet. Embedded latest version of SOP 14 in SOP 14 worksheet.</t>
  </si>
  <si>
    <t>All worksheet are appropriately named and easy to understand</t>
  </si>
  <si>
    <t>JO#</t>
  </si>
  <si>
    <t>Added FORMAT_CX and ROUND_UNC visual basic modules for rounding results and uncertainties IAW NISTIR 6969, GLP 9 using the FmtCX() and Rnd2() functions.</t>
  </si>
  <si>
    <t>Validated links and ranges.</t>
  </si>
  <si>
    <t>Added SI statement and conversion factors on the Report Pages 1-3 spreadsheet.</t>
  </si>
  <si>
    <t>The artifact(s) described in this report have been compared to the Standards of the State of Washington. The Standards of the State of Washington are traceable to the National Institute of Standards and Technology (NIST) and are part of a comprehensive measurement assurance program for ensuring continued accuracy and measurement traceability within the level of uncertainty reported by this laboratory. The International System of Units (SI) for volume is the cubic meter (m³) (see Conversion Factors on page 3). The report number for this report is the only unique report number to be used in referencing measurement traceability for the artifact(s) described in this report.</t>
  </si>
  <si>
    <t>Conversion Factors</t>
  </si>
  <si>
    <r>
      <t xml:space="preserve">From NIST Special Publication 811, </t>
    </r>
    <r>
      <rPr>
        <i/>
        <sz val="10"/>
        <rFont val="Trebuchet MS"/>
        <family val="2"/>
      </rPr>
      <t>Guide for the Use of the International System of Units (SI)</t>
    </r>
  </si>
  <si>
    <r>
      <t xml:space="preserve">Factors in </t>
    </r>
    <r>
      <rPr>
        <b/>
        <sz val="10"/>
        <rFont val="Trebuchet MS"/>
        <family val="2"/>
      </rPr>
      <t>boldface</t>
    </r>
    <r>
      <rPr>
        <sz val="10"/>
        <rFont val="Trebuchet MS"/>
        <family val="2"/>
      </rPr>
      <t xml:space="preserve"> are exact</t>
    </r>
  </si>
  <si>
    <t>To convert from</t>
  </si>
  <si>
    <t>to</t>
  </si>
  <si>
    <t>gallon (U.S.) (gal)</t>
  </si>
  <si>
    <t>to cubic meter (m³)</t>
  </si>
  <si>
    <t>3.875 412 E-03</t>
  </si>
  <si>
    <t>cubic inch (in³)</t>
  </si>
  <si>
    <t>1.638 706 4 E-05</t>
  </si>
  <si>
    <t>liter (L)</t>
  </si>
  <si>
    <t>1.0 E-03</t>
  </si>
  <si>
    <t>Air Density and Water Density are rounded according to SOP 14 and the volume correction and uncertainty are rounded according to NISTIR 6969, GLP 9</t>
  </si>
  <si>
    <t>fluid ounce (U.S.) (fl oz)</t>
  </si>
  <si>
    <t>2.957 353 E-05</t>
  </si>
  <si>
    <t>gill (U.S.) (gi)</t>
  </si>
  <si>
    <t>1.182 941 E-04</t>
  </si>
  <si>
    <t>pint (U.S. liquid) (liq pt)</t>
  </si>
  <si>
    <t>4.731 765 E-04</t>
  </si>
  <si>
    <t>quart (U.S. liquid) (liq qt)</t>
  </si>
  <si>
    <t>9.463 529 E-04</t>
  </si>
  <si>
    <t>liq pt</t>
  </si>
  <si>
    <t>liq qt</t>
  </si>
  <si>
    <t>='Tables &amp; Lists'!$A$4:$A$9</t>
  </si>
  <si>
    <t>JO_No</t>
  </si>
  <si>
    <t>='Tables &amp; Lists'!$C$5:$C$12</t>
  </si>
  <si>
    <t>='Tables &amp; Lists'!$A$21</t>
  </si>
  <si>
    <t>='Tables &amp; Lists'!$J$5:$J$15</t>
  </si>
  <si>
    <t>='Tables &amp; Lists'!$A$20</t>
  </si>
  <si>
    <t>='Tables &amp; Lists'!$A$19</t>
  </si>
  <si>
    <t>='Tables &amp; Lists'!$A$10:$A$11</t>
  </si>
  <si>
    <t>='Tables &amp; Lists'!$C$5:$H$12</t>
  </si>
  <si>
    <t>Validated workbook, file name "WA2012-02-15 WAMRF-005 (Rev. 21), SOP 14 Workbook V&amp;V.pdf". Electronic copies in laboratory computer C:\ drive and agency server H:\ drive and paper copy in laboratory files.</t>
  </si>
  <si>
    <t>multiply by</t>
  </si>
  <si>
    <t>Accreditation Statement</t>
  </si>
  <si>
    <t>Embedded 2012 SOP</t>
  </si>
  <si>
    <t>Air Density, SOP 2, Option B, 2012 (CIPM 2007)</t>
  </si>
  <si>
    <t>Measurement Option (A = one point balance calibration; B = two point balance calibration)</t>
  </si>
  <si>
    <t>Zero the balance, then place dry/wet-down vessel on balance</t>
  </si>
  <si>
    <t>Zero the balance, then place filled vessel on balance</t>
  </si>
  <si>
    <t>Starting Conditions Trial 1</t>
  </si>
  <si>
    <t>Ending Conditions Trial 1</t>
  </si>
  <si>
    <t>Record temperature of water used to fill the vessel (ºC)</t>
  </si>
  <si>
    <t>Record temperature of water in vessel (ºC)</t>
  </si>
  <si>
    <t>Starting Conditions Trial 2</t>
  </si>
  <si>
    <t>Ending Conditions Trial 2</t>
  </si>
  <si>
    <r>
      <t>O</t>
    </r>
    <r>
      <rPr>
        <vertAlign val="subscript"/>
        <sz val="11"/>
        <rFont val="Trebuchet MS"/>
        <family val="2"/>
      </rPr>
      <t>1</t>
    </r>
  </si>
  <si>
    <r>
      <t>O</t>
    </r>
    <r>
      <rPr>
        <vertAlign val="subscript"/>
        <sz val="11"/>
        <rFont val="Trebuchet MS"/>
        <family val="2"/>
      </rPr>
      <t>2</t>
    </r>
  </si>
  <si>
    <r>
      <t>O</t>
    </r>
    <r>
      <rPr>
        <vertAlign val="subscript"/>
        <sz val="11"/>
        <rFont val="Trebuchet MS"/>
        <family val="2"/>
      </rPr>
      <t>3</t>
    </r>
  </si>
  <si>
    <r>
      <t>O</t>
    </r>
    <r>
      <rPr>
        <vertAlign val="subscript"/>
        <sz val="11"/>
        <rFont val="Trebuchet MS"/>
        <family val="2"/>
      </rPr>
      <t>4</t>
    </r>
  </si>
  <si>
    <t>k factor</t>
  </si>
  <si>
    <t>mm Hg</t>
  </si>
  <si>
    <t>% RH</t>
  </si>
  <si>
    <t>Pooled Std Dev of the Trials from Control Chart (mL)</t>
  </si>
  <si>
    <t>Degrees of Freedom</t>
  </si>
  <si>
    <t>M. Tanaka, G. Girard, R. Davis, A. Peuto, and N. Bignell equation, Metrologia, 38, 301-309 (2001) Water Density Formula for Air Saturated Water</t>
  </si>
  <si>
    <t>Measurement Option A - One Point Balance Calibration</t>
  </si>
  <si>
    <t>Measurement Option B - Two Point Balance Calibration</t>
  </si>
  <si>
    <t>k factor =</t>
  </si>
  <si>
    <t>Mass standard(s) slightly more than the mass of the filled vessel (i.e., true mass, vacuum mass) (g)</t>
  </si>
  <si>
    <t>Density of air at the conditions of calibration (g/cm³)</t>
  </si>
  <si>
    <t>Density of mass standards (g/cm³)</t>
  </si>
  <si>
    <t>Density of water at temperature of measurement (g/cm³)</t>
  </si>
  <si>
    <t>Mass standard(s) slightly more than the mass of the empty/drained vessel (i.e., true mass, vacuum mass) (g)</t>
  </si>
  <si>
    <t>Coefficient of cubical expansion of the container being calibrated (see NISTIR 6969, Table 9.10)</t>
  </si>
  <si>
    <t>Temperature of water (ºC)</t>
  </si>
  <si>
    <t>Volume at reference temperature  (cm³ or mL @ ºF or ºC)</t>
  </si>
  <si>
    <t>Reference temperature for the calibration (ºF of ºC)</t>
  </si>
  <si>
    <r>
      <t>Represents either the "to contain" or "to deliver" volume (depending on whether O</t>
    </r>
    <r>
      <rPr>
        <vertAlign val="subscript"/>
        <sz val="11"/>
        <rFont val="Trebuchet MS"/>
        <family val="2"/>
      </rPr>
      <t>3</t>
    </r>
    <r>
      <rPr>
        <sz val="11"/>
        <rFont val="Trebuchet MS"/>
        <family val="2"/>
      </rPr>
      <t xml:space="preserve"> represents a dry or a "wet down" container at the temperature of measurement) (cm³ or mL)</t>
    </r>
  </si>
  <si>
    <t>A_tw1after</t>
  </si>
  <si>
    <t>A_tw1before</t>
  </si>
  <si>
    <t>A_tw2after</t>
  </si>
  <si>
    <t>A_tw2before</t>
  </si>
  <si>
    <t>B_tw1after</t>
  </si>
  <si>
    <t>B_tw1before</t>
  </si>
  <si>
    <t>B_tw2after</t>
  </si>
  <si>
    <t>B_tw2before</t>
  </si>
  <si>
    <t>='Data Entry'!$F$23</t>
  </si>
  <si>
    <t>P_1_Aend</t>
  </si>
  <si>
    <t>P_1_Astart</t>
  </si>
  <si>
    <t>P_1_Bend</t>
  </si>
  <si>
    <t>='Data Entry'!$I$107</t>
  </si>
  <si>
    <t>P_1_Bstart</t>
  </si>
  <si>
    <t>='Data Entry'!$I$95</t>
  </si>
  <si>
    <t>P_2_Aend</t>
  </si>
  <si>
    <t>P_2_Astart</t>
  </si>
  <si>
    <t>='Data Entry'!$I$78</t>
  </si>
  <si>
    <t>P_2_Bend</t>
  </si>
  <si>
    <t>P_2_Bstart</t>
  </si>
  <si>
    <t>='Data Entry'!$I$113</t>
  </si>
  <si>
    <t>Pa1</t>
  </si>
  <si>
    <t>Pa2</t>
  </si>
  <si>
    <t>Pw1</t>
  </si>
  <si>
    <t>Pw2</t>
  </si>
  <si>
    <t>t_air1_Aend</t>
  </si>
  <si>
    <t>t_air1_Astart</t>
  </si>
  <si>
    <t>t_air1_Bend</t>
  </si>
  <si>
    <t>t_air1_Bstart</t>
  </si>
  <si>
    <t>t_air2_Aend</t>
  </si>
  <si>
    <t>t_air2_Astart</t>
  </si>
  <si>
    <t>t_air2_Bend</t>
  </si>
  <si>
    <t>t_air2_Bstart</t>
  </si>
  <si>
    <t>tw1</t>
  </si>
  <si>
    <t>tw2</t>
  </si>
  <si>
    <t>U_1_Aend</t>
  </si>
  <si>
    <t>U_1_Astart</t>
  </si>
  <si>
    <t>U_1_Bend</t>
  </si>
  <si>
    <t>U_1_Bstart</t>
  </si>
  <si>
    <t>='Data Entry'!$I$96</t>
  </si>
  <si>
    <t>U_2_Aend</t>
  </si>
  <si>
    <t>U_2_Astart</t>
  </si>
  <si>
    <t>U_2_Bend</t>
  </si>
  <si>
    <t>U_2_Bstart</t>
  </si>
  <si>
    <t>='Data Entry'!$H$50</t>
  </si>
  <si>
    <t>='Data Entry'!$H$51</t>
  </si>
  <si>
    <t>='Data Entry'!$H$49</t>
  </si>
  <si>
    <t>Tolerance - U (k≈2)=</t>
  </si>
  <si>
    <t>Updated water density formula on Calculations worksheet</t>
  </si>
  <si>
    <t>Updated k factor based on degrees of freedom IAW SOP 29 (2012 edition)</t>
  </si>
  <si>
    <t>Updated air density formula on CIPM Air Density worksheet</t>
  </si>
  <si>
    <t>Modified Uncertainty Analysis worksheet and references to water and air density formula uncertainties</t>
  </si>
  <si>
    <t>Validated ranges and links</t>
  </si>
  <si>
    <t>Validated workbook, file name "WA2012-06-18 WAMRF-005 (Rev. 22), SOP 14 Workbook V&amp;V.pdf". Electronic copies in laboratory computer C:\ drive and agency server H:\ drive and paper copy in laboratory files.</t>
  </si>
  <si>
    <t>Modified Data Entry worksheet observations section and added degrees of freedom and best uncertainty k factor entries</t>
  </si>
  <si>
    <t xml:space="preserve">To view the SOP, unprotect the worksheet then double click on it. </t>
  </si>
  <si>
    <t>Observation Values</t>
  </si>
  <si>
    <t>Trial 1</t>
  </si>
  <si>
    <t>Trial 2</t>
  </si>
  <si>
    <t>Obs1_Run1</t>
  </si>
  <si>
    <t>=Calculations!$B$21</t>
  </si>
  <si>
    <t>Obs1_Run2</t>
  </si>
  <si>
    <t>=Calculations!$F$21</t>
  </si>
  <si>
    <t>Obs2_Run1</t>
  </si>
  <si>
    <t>=Calculations!$B$22</t>
  </si>
  <si>
    <t>Obs2_Run2</t>
  </si>
  <si>
    <t>=Calculations!$F$22</t>
  </si>
  <si>
    <t>Obs3_Run1</t>
  </si>
  <si>
    <t>=Calculations!$B$23</t>
  </si>
  <si>
    <t>Obs3_Run2</t>
  </si>
  <si>
    <t>=Calculations!$F$23</t>
  </si>
  <si>
    <t>Obs4_Run1</t>
  </si>
  <si>
    <t>=Calculations!$B$24</t>
  </si>
  <si>
    <t>=Calculations!$F$24</t>
  </si>
  <si>
    <t>Obs4_Run2</t>
  </si>
  <si>
    <t>Inserted new WSDA Logo on "Report Pages 1-3" worksheet.</t>
  </si>
  <si>
    <t>Water Conductivity Test</t>
  </si>
  <si>
    <t>No Macros</t>
  </si>
  <si>
    <t>Removed GLP Rounding macros</t>
  </si>
  <si>
    <t>Entered new rounding technique and corrected formulas</t>
  </si>
  <si>
    <t>Validated links and range names.</t>
  </si>
  <si>
    <t>Validated workbook, file name "WA2013-02-18 WAMRF-005 (Rev. 23), SOP 14 Workbook V&amp;V.pdf". Electronic copies in laboratory computer C:\ drive and agency server H:\ drive and paper copy in laboratory files.</t>
  </si>
  <si>
    <t>Type of Volume Container (To Deliver for Wet Calibration or To Contain for Dry Calibration)</t>
  </si>
  <si>
    <t>What is the Calibration Interval (months)?</t>
  </si>
  <si>
    <t>Balance Unit:</t>
  </si>
  <si>
    <t>U k factor</t>
  </si>
  <si>
    <t>U df</t>
  </si>
  <si>
    <t>Rectangular</t>
  </si>
  <si>
    <r>
      <t>Combined U (u</t>
    </r>
    <r>
      <rPr>
        <vertAlign val="subscript"/>
        <sz val="11"/>
        <rFont val="Trebuchet MS"/>
        <family val="2"/>
      </rPr>
      <t>c</t>
    </r>
    <r>
      <rPr>
        <sz val="11"/>
        <rFont val="Trebuchet MS"/>
        <family val="2"/>
      </rPr>
      <t>) =</t>
    </r>
  </si>
  <si>
    <r>
      <t>Effective Degrees of Freedom, Welch-Satterthwaite formula, NIST Technical Note 1297, (B-1) (v</t>
    </r>
    <r>
      <rPr>
        <vertAlign val="subscript"/>
        <sz val="11"/>
        <rFont val="Trebuchet MS"/>
        <family val="2"/>
      </rPr>
      <t>eff</t>
    </r>
    <r>
      <rPr>
        <sz val="11"/>
        <rFont val="Trebuchet MS"/>
        <family val="2"/>
      </rPr>
      <t>) =</t>
    </r>
  </si>
  <si>
    <r>
      <t>Expanded U (u</t>
    </r>
    <r>
      <rPr>
        <vertAlign val="subscript"/>
        <sz val="11"/>
        <rFont val="Trebuchet MS"/>
        <family val="2"/>
      </rPr>
      <t>c</t>
    </r>
    <r>
      <rPr>
        <sz val="11"/>
        <rFont val="Trebuchet MS"/>
        <family val="2"/>
      </rPr>
      <t>*k) =</t>
    </r>
  </si>
  <si>
    <t>Final k factor =</t>
  </si>
  <si>
    <r>
      <t>Final U (u</t>
    </r>
    <r>
      <rPr>
        <vertAlign val="subscript"/>
        <sz val="11"/>
        <rFont val="Trebuchet MS"/>
        <family val="2"/>
      </rPr>
      <t>c</t>
    </r>
    <r>
      <rPr>
        <sz val="11"/>
        <rFont val="Trebuchet MS"/>
        <family val="2"/>
      </rPr>
      <t>*k) =</t>
    </r>
  </si>
  <si>
    <t>Effective Degrees of Freedom =</t>
  </si>
  <si>
    <r>
      <t>Uncertainty (u</t>
    </r>
    <r>
      <rPr>
        <vertAlign val="subscript"/>
        <sz val="10"/>
        <rFont val="Trebuchet MS"/>
        <family val="2"/>
      </rPr>
      <t>c</t>
    </r>
    <r>
      <rPr>
        <sz val="10"/>
        <rFont val="Trebuchet MS"/>
        <family val="2"/>
      </rPr>
      <t>*k) =</t>
    </r>
  </si>
  <si>
    <t>Removed 'Standards' worksheet. Linked customer and standards cells to the 'Customer' and 'Standards' workbooks. Reformatted 'Documentation' worksheet.</t>
  </si>
  <si>
    <t xml:space="preserve">Changed "Certification Statement" to "Accreditation Statement" on Report Pages 1-3 worksheet to be in compliance with NVLAP requirement Annex A, l). </t>
  </si>
  <si>
    <t>NISTIR 7383, SOP 14 Option A, Gravimetric Calibration of Volumetric Ware Using an Electronic Balance</t>
  </si>
  <si>
    <t>mL            k =</t>
  </si>
  <si>
    <t>df =</t>
  </si>
  <si>
    <t>Control Chart Information</t>
  </si>
  <si>
    <t>Note: Copy and Paste Appropriate Row(s) to Control Chart</t>
  </si>
  <si>
    <t>R-Chart Information</t>
  </si>
  <si>
    <t>Tech. Initials</t>
  </si>
  <si>
    <t>Tech. Int.</t>
  </si>
  <si>
    <t>Changed all ISBLANK() statements.</t>
  </si>
  <si>
    <t>Redefined uncertainty components, added the Welch-Satterthwaite formula for effective degrees of freedom.</t>
  </si>
  <si>
    <t>Revised the Control Data worksheet</t>
  </si>
  <si>
    <t>Validated links and range names and spell checked.</t>
  </si>
  <si>
    <t>Air Density Calculation Run 1</t>
  </si>
  <si>
    <t>='Data Entry'!$J$12</t>
  </si>
  <si>
    <t>='Data Entry'!$K$21</t>
  </si>
  <si>
    <t>BestU</t>
  </si>
  <si>
    <t>BestUdf</t>
  </si>
  <si>
    <t>='Data Entry'!$K$23</t>
  </si>
  <si>
    <t>BestUk</t>
  </si>
  <si>
    <t>='CIPM Air Density'!$D$7</t>
  </si>
  <si>
    <t>='CIPM Air Density'!$D$13</t>
  </si>
  <si>
    <t>='Data Entry'!$K$4</t>
  </si>
  <si>
    <t>Description_list</t>
  </si>
  <si>
    <t>='Data Entry'!$K$22</t>
  </si>
  <si>
    <t>='Tables &amp; Lists'!$H$13</t>
  </si>
  <si>
    <t>Final_k</t>
  </si>
  <si>
    <t>='Tables &amp; Lists'!$F$13</t>
  </si>
  <si>
    <t>='Tables &amp; Lists'!$D$13</t>
  </si>
  <si>
    <t>Material_List</t>
  </si>
  <si>
    <t>Nom_Val_List</t>
  </si>
  <si>
    <t>PO_Number</t>
  </si>
  <si>
    <t>='Data Entry'!$I$5</t>
  </si>
  <si>
    <t>POC_Name</t>
  </si>
  <si>
    <t>='Data Entry'!$I$6</t>
  </si>
  <si>
    <t>POC_Phone</t>
  </si>
  <si>
    <t>='Data Entry'!$I$7</t>
  </si>
  <si>
    <t>='Data Entry'!$J$13</t>
  </si>
  <si>
    <t>='Data Entry'!$G$13</t>
  </si>
  <si>
    <t>='Data Entry'!$I$1</t>
  </si>
  <si>
    <t>Slicker_Stmt</t>
  </si>
  <si>
    <t>='Data Entry'!$J$11</t>
  </si>
  <si>
    <t>='Data Entry'!$D$14</t>
  </si>
  <si>
    <t>Spec_List</t>
  </si>
  <si>
    <t>Tech_Int</t>
  </si>
  <si>
    <t>ToContain_Stmt</t>
  </si>
  <si>
    <t>ToDeliver_Stmt</t>
  </si>
  <si>
    <t>='Data Entry'!$J$16</t>
  </si>
  <si>
    <t>TypeCal_List</t>
  </si>
  <si>
    <t>='Data Entry'!$J$10</t>
  </si>
  <si>
    <t>rh_corr</t>
  </si>
  <si>
    <t>U_P</t>
  </si>
  <si>
    <t>U_P_k</t>
  </si>
  <si>
    <t>U_rh</t>
  </si>
  <si>
    <t>U_rh_k</t>
  </si>
  <si>
    <t>U_t</t>
  </si>
  <si>
    <t>U_t_a_k</t>
  </si>
  <si>
    <t>U_t_w</t>
  </si>
  <si>
    <t>U_t_w_k</t>
  </si>
  <si>
    <t>Split Uncertainty Analysis to two worksheets, one for Option A and one for Option B.</t>
  </si>
  <si>
    <t>Final Unformatted Uncertainty =</t>
  </si>
  <si>
    <t>Cubical Coefficient of Expansion Table
(CCE_Table)
&amp;
Material List
(Materal_List)</t>
  </si>
  <si>
    <t>Volume Conversion Table
(VolTable) &amp;
Nominal Value Unit
(Nom_Val_List)</t>
  </si>
  <si>
    <r>
      <t xml:space="preserve">The worksheets are password protected. Password is </t>
    </r>
    <r>
      <rPr>
        <sz val="12"/>
        <color indexed="10"/>
        <rFont val="Trebuchet MS"/>
        <family val="2"/>
      </rPr>
      <t>password</t>
    </r>
    <r>
      <rPr>
        <sz val="12"/>
        <rFont val="Trebuchet MS"/>
        <family val="2"/>
      </rPr>
      <t>. You should protect each sheet with your own unique password. Place a password hint here so you don't forget it. Password hint is: "</t>
    </r>
    <r>
      <rPr>
        <sz val="12"/>
        <color indexed="10"/>
        <rFont val="Trebuchet MS"/>
        <family val="2"/>
      </rPr>
      <t>?</t>
    </r>
    <r>
      <rPr>
        <sz val="12"/>
        <rFont val="Trebuchet MS"/>
        <family val="2"/>
      </rPr>
      <t>"</t>
    </r>
  </si>
  <si>
    <t>Validate all ranges after any changes and during annual reviews.</t>
  </si>
  <si>
    <t>Specification List</t>
  </si>
  <si>
    <t>Tolerance (mL)</t>
  </si>
  <si>
    <t>='Tables &amp; Lists'!$L$5:$M$14</t>
  </si>
  <si>
    <t>='Tables &amp; Lists'!$L$5:$L$14</t>
  </si>
  <si>
    <t>=Instructions!$11:$12</t>
  </si>
  <si>
    <t>Accreditation LOGO</t>
  </si>
  <si>
    <r>
      <t xml:space="preserve">Accredited by the </t>
    </r>
    <r>
      <rPr>
        <sz val="8"/>
        <color indexed="10"/>
        <rFont val="Trebuchet MS"/>
        <family val="2"/>
      </rPr>
      <t>Accreditation Authority</t>
    </r>
    <r>
      <rPr>
        <sz val="8"/>
        <rFont val="Trebuchet MS"/>
        <family val="2"/>
      </rPr>
      <t xml:space="preserve"> for the specific scope of accreditation under lab code XXXXXX-X. This report may not be used to claim product endorsement by </t>
    </r>
    <r>
      <rPr>
        <sz val="8"/>
        <color indexed="10"/>
        <rFont val="Trebuchet MS"/>
        <family val="2"/>
      </rPr>
      <t>Accreditation Authority</t>
    </r>
    <r>
      <rPr>
        <sz val="8"/>
        <rFont val="Trebuchet MS"/>
        <family val="2"/>
      </rPr>
      <t xml:space="preserve"> or any other government agency, and may not be reproduced, except in full, without written approval from the laboratory.</t>
    </r>
  </si>
  <si>
    <r>
      <t xml:space="preserve">Accredited by the </t>
    </r>
    <r>
      <rPr>
        <sz val="10"/>
        <color indexed="10"/>
        <rFont val="Trebuchet MS"/>
        <family val="2"/>
      </rPr>
      <t>Accreditation Authority</t>
    </r>
    <r>
      <rPr>
        <sz val="10"/>
        <rFont val="Trebuchet MS"/>
        <family val="2"/>
      </rPr>
      <t xml:space="preserve"> for the specified scope of accreditation under lab code </t>
    </r>
    <r>
      <rPr>
        <sz val="10"/>
        <color indexed="10"/>
        <rFont val="Trebuchet MS"/>
        <family val="2"/>
      </rPr>
      <t>XXXXXX-X</t>
    </r>
    <r>
      <rPr>
        <sz val="10"/>
        <rFont val="Trebuchet MS"/>
        <family val="2"/>
      </rPr>
      <t>. This laboratory meets the requirements of ISO/IEC 17025 and ANSI/NCSL Z540-1.</t>
    </r>
  </si>
  <si>
    <t>Validated workbook, file name "WA2013-09-18 WAMRF-005 (Rev. 24), SOP 14 Workbook V&amp;V.pdf". Electronic copies in laboratory computer C:\ drive and agency server H:\ drive and paper copy in laboratory files.</t>
  </si>
  <si>
    <t>Dan Wright, Program Specialist 3</t>
  </si>
  <si>
    <t>Ms (filled) =</t>
  </si>
  <si>
    <t>Identify Components</t>
  </si>
  <si>
    <t>Component</t>
  </si>
  <si>
    <t>Reference</t>
  </si>
  <si>
    <t>s(p)</t>
  </si>
  <si>
    <t>Uncertainty associated with the measurement process from the average range of several sets of measurements, normal distribution, 1s</t>
  </si>
  <si>
    <t>NISTIR 6969, SOP 29, Para. 3.2.1.2. Standard deviation from a set of replicate measurements and NISTIR 6969, Statistical Techniques, paragraphs 8.3 &amp; 8.4, Pooled standard deviation from standard deviation for each set of replicates from a control chart (value divided by 1.003 mL/g to convert sp from mL to g), Type A evaluation</t>
  </si>
  <si>
    <t>u(s)</t>
  </si>
  <si>
    <t>Uncertainty associated with the weights used, normal distribution, k =1</t>
  </si>
  <si>
    <t>Calibration Report divided by the k-factor, Type B Evaluation</t>
  </si>
  <si>
    <r>
      <t>u(</t>
    </r>
    <r>
      <rPr>
        <i/>
        <sz val="10"/>
        <color indexed="8"/>
        <rFont val="Trebuchet MS"/>
        <family val="2"/>
      </rPr>
      <t>ρ</t>
    </r>
    <r>
      <rPr>
        <sz val="10"/>
        <color indexed="8"/>
        <rFont val="Trebuchet MS"/>
        <family val="2"/>
      </rPr>
      <t>S)</t>
    </r>
  </si>
  <si>
    <t>Use reported or typical from manufactures stated density (typical range is 0.05 g/cm³). (See OIML R111-1:2004(E) B.7.9 Test Method F), Type B evaluation</t>
  </si>
  <si>
    <r>
      <t>u(</t>
    </r>
    <r>
      <rPr>
        <i/>
        <sz val="10"/>
        <color indexed="8"/>
        <rFont val="Trebuchet MS"/>
        <family val="2"/>
      </rPr>
      <t>ρ</t>
    </r>
    <r>
      <rPr>
        <sz val="10"/>
        <color indexed="8"/>
        <rFont val="Trebuchet MS"/>
        <family val="2"/>
      </rPr>
      <t>a)</t>
    </r>
  </si>
  <si>
    <t>Uncertainty for air buoyancy correction, NISTIR 6969, SOP 2, Para. 4, the uncertainty in the CIPM 2007 air density equation is 0.000 026 4 mg/cm³ or 0.002 2 % of normal air density, uniform distribution.</t>
  </si>
  <si>
    <t>u(ρw)</t>
  </si>
  <si>
    <t>Uncertainty in the density of water measurement, rectangular distribution</t>
  </si>
  <si>
    <t>Metrologia, 46 (2009), 196-198, Density of water: roles of the CIPM and IAPWS standards, paragraph 2, 0.88 ppm (0.00000088 g/cm3), Type B evaluation</t>
  </si>
  <si>
    <t>u(tw)</t>
  </si>
  <si>
    <t>Uncertainty of the thermometer used for measuring water temperature, rectangular distribution</t>
  </si>
  <si>
    <t>NISTIR 7383, SOP 14, accurate to ± 0.1 ºC, Calibration Report divided by the k-factor, Type B evaluation</t>
  </si>
  <si>
    <t>u(CCE)</t>
  </si>
  <si>
    <t>Uncertainty of the Coefficient of Cubical Expansion for the vessel material, rectangular distribution</t>
  </si>
  <si>
    <t>u(P)</t>
  </si>
  <si>
    <t>NIST IR 7383, SOP 14, accurate to ± 135 Pa (1 mm Hg), Calibration Report divided by the k-factor, Type B evaluation</t>
  </si>
  <si>
    <t>u(t)</t>
  </si>
  <si>
    <t>Uncertainty of the thermometer used for measuring air temperature, rectangular distribution</t>
  </si>
  <si>
    <t>NISTIR 7383, SOP 14, accurate to ± 0.5 ºC, Calibration Report divided by the k-factor, Type B evaluation</t>
  </si>
  <si>
    <t>u(RH)</t>
  </si>
  <si>
    <t>NISTIR 7383, SOP 14, accurate to ± 10 % RH, Calibration Report divided by the k-factor, Type B evaluation</t>
  </si>
  <si>
    <t>Uncertainty Intermediate Calculations</t>
  </si>
  <si>
    <r>
      <t>Trial 1 V</t>
    </r>
    <r>
      <rPr>
        <vertAlign val="subscript"/>
        <sz val="10"/>
        <rFont val="Trebuchet MS"/>
        <family val="2"/>
      </rPr>
      <t xml:space="preserve">t </t>
    </r>
    <r>
      <rPr>
        <sz val="10"/>
        <rFont val="Trebuchet MS"/>
        <family val="2"/>
      </rPr>
      <t>(ρa+uρa) mL =</t>
    </r>
  </si>
  <si>
    <r>
      <t>Trial 1 V</t>
    </r>
    <r>
      <rPr>
        <vertAlign val="subscript"/>
        <sz val="10"/>
        <rFont val="Trebuchet MS"/>
        <family val="2"/>
      </rPr>
      <t xml:space="preserve">t </t>
    </r>
    <r>
      <rPr>
        <sz val="10"/>
        <rFont val="Trebuchet MS"/>
        <family val="2"/>
      </rPr>
      <t>(ρw+uρw) mL =</t>
    </r>
  </si>
  <si>
    <t>Water Temperature</t>
  </si>
  <si>
    <r>
      <t>Run 1 ρ</t>
    </r>
    <r>
      <rPr>
        <vertAlign val="subscript"/>
        <sz val="10"/>
        <rFont val="Trebuchet MS"/>
        <family val="2"/>
      </rPr>
      <t xml:space="preserve">w </t>
    </r>
    <r>
      <rPr>
        <sz val="10"/>
        <rFont val="Trebuchet MS"/>
        <family val="2"/>
      </rPr>
      <t>(tw + utw) g/cm³ =</t>
    </r>
  </si>
  <si>
    <t>Coefficient of Expansion</t>
  </si>
  <si>
    <t>P (mm Hg) =</t>
  </si>
  <si>
    <t>P + uP (mm Hg) =</t>
  </si>
  <si>
    <r>
      <t>Run 1 ρ</t>
    </r>
    <r>
      <rPr>
        <vertAlign val="subscript"/>
        <sz val="10"/>
        <rFont val="Trebuchet MS"/>
        <family val="2"/>
      </rPr>
      <t xml:space="preserve">a </t>
    </r>
    <r>
      <rPr>
        <sz val="10"/>
        <rFont val="Trebuchet MS"/>
        <family val="2"/>
      </rPr>
      <t xml:space="preserve">(P + uP) g/cm³ = </t>
    </r>
  </si>
  <si>
    <t>Air Temperature</t>
  </si>
  <si>
    <t>t (ºC) =</t>
  </si>
  <si>
    <t>t + ut (ºC) =</t>
  </si>
  <si>
    <r>
      <t>Run 1 ρ</t>
    </r>
    <r>
      <rPr>
        <vertAlign val="subscript"/>
        <sz val="10"/>
        <rFont val="Trebuchet MS"/>
        <family val="2"/>
      </rPr>
      <t xml:space="preserve">a </t>
    </r>
    <r>
      <rPr>
        <sz val="10"/>
        <rFont val="Trebuchet MS"/>
        <family val="2"/>
      </rPr>
      <t xml:space="preserve">(t + ut) g/cm³ = </t>
    </r>
  </si>
  <si>
    <t>Relative Humidity</t>
  </si>
  <si>
    <t>RH (%) =</t>
  </si>
  <si>
    <r>
      <t>Run 1 ρ</t>
    </r>
    <r>
      <rPr>
        <vertAlign val="subscript"/>
        <sz val="10"/>
        <rFont val="Trebuchet MS"/>
        <family val="2"/>
      </rPr>
      <t xml:space="preserve">a </t>
    </r>
    <r>
      <rPr>
        <sz val="10"/>
        <rFont val="Trebuchet MS"/>
        <family val="2"/>
      </rPr>
      <t xml:space="preserve">(RH + uRH) g/cm³ = </t>
    </r>
  </si>
  <si>
    <t>Quantity, Convert, Combined, Expand &amp; Report</t>
  </si>
  <si>
    <t>Component Description</t>
  </si>
  <si>
    <t>Component Symbol</t>
  </si>
  <si>
    <t>Estimated Uncertainty</t>
  </si>
  <si>
    <t>Units</t>
  </si>
  <si>
    <t>Reported Unc
(mL)</t>
  </si>
  <si>
    <t>Factor to Normalize</t>
  </si>
  <si>
    <t>Standard Unc
(mL)</t>
  </si>
  <si>
    <t>% Contribution</t>
  </si>
  <si>
    <t>Process Standard Deviation</t>
  </si>
  <si>
    <t>Mass Standards (Empty)</t>
  </si>
  <si>
    <t>Standards Density (Empty)</t>
  </si>
  <si>
    <t>Mass Standards (Filled)</t>
  </si>
  <si>
    <t>Standards Density (Filled)</t>
  </si>
  <si>
    <t>mg/cm³</t>
  </si>
  <si>
    <t>Final Effective Degrees of Freedom (veff) =</t>
  </si>
  <si>
    <t>Cs_empty</t>
  </si>
  <si>
    <t>Cs_filled</t>
  </si>
  <si>
    <t>df_Ms_empty</t>
  </si>
  <si>
    <t>df_Ms_filled</t>
  </si>
  <si>
    <t>Final_U</t>
  </si>
  <si>
    <t>Final_Veff</t>
  </si>
  <si>
    <t>k</t>
  </si>
  <si>
    <t>k_Ms_empty</t>
  </si>
  <si>
    <t>k_Ms_filled</t>
  </si>
  <si>
    <t>mcr</t>
  </si>
  <si>
    <t>MeasuredU</t>
  </si>
  <si>
    <t>Ms_empty</t>
  </si>
  <si>
    <t>Ms_empty_nom</t>
  </si>
  <si>
    <t>Ms_filled</t>
  </si>
  <si>
    <t>Ms_filled_nom</t>
  </si>
  <si>
    <t>P_0</t>
  </si>
  <si>
    <t>P_Ms_empty</t>
  </si>
  <si>
    <t>P_Ms_filled</t>
  </si>
  <si>
    <t>Pn</t>
  </si>
  <si>
    <t>Pr</t>
  </si>
  <si>
    <t>Pt</t>
  </si>
  <si>
    <t>Reported_df</t>
  </si>
  <si>
    <t>Reportedk</t>
  </si>
  <si>
    <t>ReportedUnc</t>
  </si>
  <si>
    <t>U_Ms_empty</t>
  </si>
  <si>
    <t>U_Ms_filled</t>
  </si>
  <si>
    <t>U_P_Ms_empty</t>
  </si>
  <si>
    <t>U_P_Ms_filled</t>
  </si>
  <si>
    <t>UPa</t>
  </si>
  <si>
    <t>Veff</t>
  </si>
  <si>
    <t>Methods for option A or option B are selectable and formulae are show on the SOP 14 and Uncertainty worksheet</t>
  </si>
  <si>
    <t>Modified Data Entry sheet Mass Standards Data cells and names</t>
  </si>
  <si>
    <t>Deleted Uncertainty Analysis Option A and Option B sheets and added new Uncertainty Analysis sheet</t>
  </si>
  <si>
    <t>Validated workbook, file name "WA2014-05-30 WAMRF-005 (Rev. 25), SOP 14 Workbook V&amp;V.pdf". Electronic copies in laboratory computer C:\ drive and agency server H:\ drive and paper copy in laboratory files.</t>
  </si>
  <si>
    <t>Validated range names and spell checked.</t>
  </si>
  <si>
    <t>RH + uRH (%) =</t>
  </si>
  <si>
    <t>Added uncertainty for reading the meniscus.</t>
  </si>
  <si>
    <t>Neck Inside Dia. (mm)</t>
  </si>
  <si>
    <t>Sight Glass Inside Dia. (mm)</t>
  </si>
  <si>
    <t>Graduation Line Width (mm)</t>
  </si>
  <si>
    <t>Line_w</t>
  </si>
  <si>
    <t>u(m)</t>
  </si>
  <si>
    <t>Uncertainty associated with reading the meniscus of the standard and unknown vessel, triangular distribution</t>
  </si>
  <si>
    <t xml:space="preserve"> NISTIR 7383, GMP 3, page 4, equation for volume of a cylinder, Type B evaluation</t>
  </si>
  <si>
    <t>Error in Reading Meniscus</t>
  </si>
  <si>
    <t>Vol =</t>
  </si>
  <si>
    <t>Volume error in reading the meniscus</t>
  </si>
  <si>
    <t>=</t>
  </si>
  <si>
    <t>The value of PI, 3.141 592 653 589 79</t>
  </si>
  <si>
    <t>r =</t>
  </si>
  <si>
    <t>The radius of the internal diameter</t>
  </si>
  <si>
    <t>h =</t>
  </si>
  <si>
    <t>The height of the graduation line or volume in question</t>
  </si>
  <si>
    <t>Meniscus</t>
  </si>
  <si>
    <t>Triangular</t>
  </si>
  <si>
    <t>Volume error in Sight Glass (mL) =</t>
  </si>
  <si>
    <t>Volume error in Neck (mL) =</t>
  </si>
  <si>
    <t>='Data Entry'!$I$68</t>
  </si>
  <si>
    <t>='Data Entry'!$I$84</t>
  </si>
  <si>
    <t>='Data Entry'!$I$105</t>
  </si>
  <si>
    <t>='Data Entry'!$I$103</t>
  </si>
  <si>
    <t>='Data Entry'!$I$123</t>
  </si>
  <si>
    <t>='Data Entry'!$I$121</t>
  </si>
  <si>
    <t>='Data Entry'!$F$24</t>
  </si>
  <si>
    <t>='Data Entry'!$K$24</t>
  </si>
  <si>
    <t>='Data Entry'!$I$24</t>
  </si>
  <si>
    <t>='Data Entry'!$D$21</t>
  </si>
  <si>
    <t>='Data Entry'!$D$16</t>
  </si>
  <si>
    <t>='Data Entry'!$D$45</t>
  </si>
  <si>
    <t>='Data Entry'!$D$41</t>
  </si>
  <si>
    <t>='Data Entry'!$I$45</t>
  </si>
  <si>
    <t>='Data Entry'!$I$41</t>
  </si>
  <si>
    <t>='Data Entry'!$K$18</t>
  </si>
  <si>
    <t>='Data Entry'!$F$18</t>
  </si>
  <si>
    <t>='Data Entry'!$H$45</t>
  </si>
  <si>
    <t>='Data Entry'!$H$41</t>
  </si>
  <si>
    <t>='Data Entry'!$K$15</t>
  </si>
  <si>
    <t>='Data Entry'!$C$45</t>
  </si>
  <si>
    <t>='Data Entry'!$C$41</t>
  </si>
  <si>
    <t>Neck_d</t>
  </si>
  <si>
    <t>='Data Entry'!$C$15</t>
  </si>
  <si>
    <t>='Data Entry'!$J$25</t>
  </si>
  <si>
    <t>='Uncertainty Analysis'!$B$71</t>
  </si>
  <si>
    <t>='Data Entry'!$J$45</t>
  </si>
  <si>
    <t>='Data Entry'!$J$41</t>
  </si>
  <si>
    <t>='Data Entry'!$D$52</t>
  </si>
  <si>
    <t>SG_d</t>
  </si>
  <si>
    <t>='Data Entry'!$G$15</t>
  </si>
  <si>
    <t>='Data Entry'!$G$21</t>
  </si>
  <si>
    <t>='Data Entry'!$J$14</t>
  </si>
  <si>
    <t>='Data Entry'!$J$17</t>
  </si>
  <si>
    <t>='Data Entry'!$I$74</t>
  </si>
  <si>
    <t>='Data Entry'!$I$64</t>
  </si>
  <si>
    <t>='Data Entry'!$I$97</t>
  </si>
  <si>
    <t>='Data Entry'!$I$90</t>
  </si>
  <si>
    <t>='Data Entry'!$I$80</t>
  </si>
  <si>
    <t>='Data Entry'!$F$45</t>
  </si>
  <si>
    <t>='Data Entry'!$F$41</t>
  </si>
  <si>
    <t>='Data Entry'!$K$45</t>
  </si>
  <si>
    <t>='Data Entry'!$K$41</t>
  </si>
  <si>
    <t>='Data Entry'!$F$52</t>
  </si>
  <si>
    <t>='Data Entry'!$H$52</t>
  </si>
  <si>
    <t>='Uncertainty Analysis'!$B$69</t>
  </si>
  <si>
    <t>Mass Density</t>
  </si>
  <si>
    <r>
      <t>Trial 1 V</t>
    </r>
    <r>
      <rPr>
        <vertAlign val="subscript"/>
        <sz val="10"/>
        <rFont val="Trebuchet MS"/>
        <family val="2"/>
      </rPr>
      <t xml:space="preserve">t </t>
    </r>
    <r>
      <rPr>
        <sz val="10"/>
        <rFont val="Trebuchet MS"/>
        <family val="2"/>
      </rPr>
      <t>(ρS</t>
    </r>
    <r>
      <rPr>
        <vertAlign val="subscript"/>
        <sz val="10"/>
        <rFont val="Trebuchet MS"/>
        <family val="2"/>
      </rPr>
      <t>F</t>
    </r>
    <r>
      <rPr>
        <sz val="10"/>
        <rFont val="Trebuchet MS"/>
        <family val="2"/>
      </rPr>
      <t>+uρS</t>
    </r>
    <r>
      <rPr>
        <vertAlign val="subscript"/>
        <sz val="10"/>
        <rFont val="Trebuchet MS"/>
        <family val="2"/>
      </rPr>
      <t>F</t>
    </r>
    <r>
      <rPr>
        <sz val="10"/>
        <rFont val="Trebuchet MS"/>
        <family val="2"/>
      </rPr>
      <t>) mL =</t>
    </r>
  </si>
  <si>
    <r>
      <t>Trial 1 V</t>
    </r>
    <r>
      <rPr>
        <vertAlign val="subscript"/>
        <sz val="10"/>
        <rFont val="Trebuchet MS"/>
        <family val="2"/>
      </rPr>
      <t xml:space="preserve">t </t>
    </r>
    <r>
      <rPr>
        <sz val="10"/>
        <rFont val="Trebuchet MS"/>
        <family val="2"/>
      </rPr>
      <t>(ρS</t>
    </r>
    <r>
      <rPr>
        <vertAlign val="subscript"/>
        <sz val="10"/>
        <rFont val="Trebuchet MS"/>
        <family val="2"/>
      </rPr>
      <t>E</t>
    </r>
    <r>
      <rPr>
        <sz val="10"/>
        <rFont val="Trebuchet MS"/>
        <family val="2"/>
      </rPr>
      <t>+uρS</t>
    </r>
    <r>
      <rPr>
        <vertAlign val="subscript"/>
        <sz val="10"/>
        <rFont val="Trebuchet MS"/>
        <family val="2"/>
      </rPr>
      <t>E</t>
    </r>
    <r>
      <rPr>
        <sz val="10"/>
        <rFont val="Trebuchet MS"/>
        <family val="2"/>
      </rPr>
      <t>) mL =</t>
    </r>
  </si>
  <si>
    <t>Corrected uncertainty conversions for Mass and Mass Density uncertainties to mL.</t>
  </si>
  <si>
    <r>
      <t>Zero the balance, then place standard(s), M</t>
    </r>
    <r>
      <rPr>
        <vertAlign val="subscript"/>
        <sz val="11"/>
        <rFont val="Trebuchet MS"/>
        <family val="2"/>
      </rPr>
      <t>S empty</t>
    </r>
    <r>
      <rPr>
        <sz val="11"/>
        <rFont val="Trebuchet MS"/>
        <family val="2"/>
      </rPr>
      <t>, slightly larger than the mass of the dry/wet-down vessel</t>
    </r>
  </si>
  <si>
    <r>
      <t>Zero the balance, then place standard(s), M</t>
    </r>
    <r>
      <rPr>
        <vertAlign val="subscript"/>
        <sz val="11"/>
        <rFont val="Trebuchet MS"/>
        <family val="2"/>
      </rPr>
      <t>S filled</t>
    </r>
    <r>
      <rPr>
        <sz val="11"/>
        <rFont val="Trebuchet MS"/>
        <family val="2"/>
      </rPr>
      <t>, slightly larger than the mass of the filled vessel</t>
    </r>
  </si>
  <si>
    <t>EURAMET cg-19, paragraph 5.3.6 5 % to 10 % of CCE</t>
  </si>
  <si>
    <t>Density of air using the CIPM 2007 Air Density Formula, rectangular distribution</t>
  </si>
  <si>
    <t>Uncertainty associated with the density of the weights used,  rectangular distribution, k =1</t>
  </si>
  <si>
    <t>='Data Entry'!$I$66</t>
  </si>
  <si>
    <t>='Data Entry'!$I$82</t>
  </si>
  <si>
    <t>='Data Entry'!$I$101</t>
  </si>
  <si>
    <t>='Data Entry'!$I$119</t>
  </si>
  <si>
    <t>='Data Entry'!$I$117</t>
  </si>
  <si>
    <t>='Uncertainty Analysis'!$K$102</t>
  </si>
  <si>
    <t>='Uncertainty Analysis'!$K$103</t>
  </si>
  <si>
    <t>='Uncertainty Analysis'!$K$101</t>
  </si>
  <si>
    <t>='Uncertainty Analysis'!$K$96</t>
  </si>
  <si>
    <t>='Uncertainty Analysis'!$K$97</t>
  </si>
  <si>
    <t>='Uncertainty Analysis'!$B$74</t>
  </si>
  <si>
    <t>='Data Entry'!$I$106</t>
  </si>
  <si>
    <t>='Data Entry'!$I$122</t>
  </si>
  <si>
    <t>='Data Entry'!$I$112</t>
  </si>
  <si>
    <t>='Uncertainty Analysis'!$D$70</t>
  </si>
  <si>
    <t>='Uncertainty Analysis'!$B$70</t>
  </si>
  <si>
    <t>='Data Entry'!$I$111</t>
  </si>
  <si>
    <t>='Uncertainty Analysis'!$B$72</t>
  </si>
  <si>
    <t>='Uncertainty Analysis'!$K$95</t>
  </si>
  <si>
    <t>Validated workbook, file name "WA2014-06-05 WAMRF-005 (Rev. 26), SOP 14 Workbook V&amp;V.pdf". Electronic copies in laboratory computer C:\ drive and agency server H:\ drive and paper copy in laboratory files.</t>
  </si>
  <si>
    <t>Revised measurement process and uncertainties in-accordance-with SOP 14, dated April 2013.</t>
  </si>
  <si>
    <t>Validated workbook, file name "WA2014-06-06 WAMRF-005 (Rev. 27), SOP 14 Workbook V&amp;V (Option A &amp; B).pdf". Electronic copies in laboratory computer C:\ drive and agency server H:\ drive and paper copy in laboratory files.</t>
  </si>
  <si>
    <r>
      <t>u(s</t>
    </r>
    <r>
      <rPr>
        <vertAlign val="subscript"/>
        <sz val="11"/>
        <rFont val="Trebuchet MS"/>
        <family val="2"/>
      </rPr>
      <t>E</t>
    </r>
    <r>
      <rPr>
        <sz val="11"/>
        <rFont val="Trebuchet MS"/>
        <family val="2"/>
      </rPr>
      <t>)</t>
    </r>
  </si>
  <si>
    <r>
      <t>u(ρS</t>
    </r>
    <r>
      <rPr>
        <vertAlign val="subscript"/>
        <sz val="11"/>
        <rFont val="Trebuchet MS"/>
        <family val="2"/>
      </rPr>
      <t>E</t>
    </r>
    <r>
      <rPr>
        <sz val="11"/>
        <rFont val="Trebuchet MS"/>
        <family val="2"/>
      </rPr>
      <t>)</t>
    </r>
  </si>
  <si>
    <r>
      <t>u(s</t>
    </r>
    <r>
      <rPr>
        <vertAlign val="subscript"/>
        <sz val="11"/>
        <rFont val="Trebuchet MS"/>
        <family val="2"/>
      </rPr>
      <t>F</t>
    </r>
    <r>
      <rPr>
        <sz val="11"/>
        <rFont val="Trebuchet MS"/>
        <family val="2"/>
      </rPr>
      <t>)</t>
    </r>
  </si>
  <si>
    <r>
      <t>u(ρS</t>
    </r>
    <r>
      <rPr>
        <vertAlign val="subscript"/>
        <sz val="11"/>
        <rFont val="Trebuchet MS"/>
        <family val="2"/>
      </rPr>
      <t>F</t>
    </r>
    <r>
      <rPr>
        <sz val="11"/>
        <rFont val="Trebuchet MS"/>
        <family val="2"/>
      </rPr>
      <t>)</t>
    </r>
  </si>
  <si>
    <t>Changed units on Uncertainty worksheet cells L94, L97, L100 &amp; L103 to "mL" instead of "mg" &amp; "g"</t>
  </si>
  <si>
    <t>Validated workbook, file name "WA2014-06-12 WAMRF-005 (Rev. 28), SOP 14 Workbook V&amp;V (Option A &amp; B).pdf". Electronic copies in laboratory computer C:\ drive and agency server H:\ drive and paper copy in laboratory files.</t>
  </si>
  <si>
    <t>Accredited U (e.g. NVLAP, A2LA, etc.) (mL)</t>
  </si>
  <si>
    <t>Accredited Effective Degrees of Freedom (veff) =</t>
  </si>
  <si>
    <t>Accredited k factor =</t>
  </si>
  <si>
    <t>Accredited U =</t>
  </si>
  <si>
    <t>Fixed formula in cell K101 on the Uncertainty Analysis worksheet which referenced the BestUk instead of the BestUdf value.</t>
  </si>
  <si>
    <t>Reworded the Uncertainty statement in the Report.</t>
  </si>
  <si>
    <t>Made minor formatting changes to Calculations and Uncertainty worksheets.</t>
  </si>
  <si>
    <t>Validated workbook, file name "WA2014-06-30 WAMRF-005 (Rev. 29), SOP 14 Workbook V&amp;V (Option A &amp; B).pdf". Electronic copies in laboratory computer C:\ drive and agency server H:\ drive and paper copy in laboratory files.</t>
  </si>
  <si>
    <t>Changed statistical df from 100 to 10000.</t>
  </si>
  <si>
    <t>Deleted viscosity uncertainty, not enough information to analyze this uncertainty.</t>
  </si>
  <si>
    <t>Corrected reference in effective degrees of freedom on Uncertainty worksheet and deleted extra plus sign. Changed J85^4/L86 to J85^4/L85.</t>
  </si>
  <si>
    <t>The combined standard uncertainty includes uncertainties for the standard(s), for the measurement process, for reading the meniscus, for the material cubical coefficient of expansion, for water density corrections, for air density corrections, for viscosity and for the environmental equipment used. The combined standard uncertainty is multiplied by a coverage factor, k, to give the expanded uncertainty, which defines an interval with a 95.45 % level of confidence. The expanded uncertainty presented in this report is consistent with NIST Technical Note 1297. A component for the effects of viscosity was not included in the uncertainty budget.</t>
  </si>
  <si>
    <t>WAMRF-005 (Rev. 30), Volume Gravimetric Calibration Workbook</t>
  </si>
  <si>
    <t>Validated workbook, file name "WA2014-12-10 WAMRF-005 (Rev. 30), SOP 14 Workbook V&amp;V (Option A &amp; B).pdf". Electronic copies in laboratory computer C:\ drive and agency server H:\ drive and paper copy in laboratory files.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</si>
</sst>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00_)"/>
    <numFmt numFmtId="166" formatCode="h:mm;@"/>
    <numFmt numFmtId="167" formatCode="[$-409]mmmm\ d\,\ yyyy;@"/>
    <numFmt numFmtId="168" formatCode="[&lt;=9999999]###\-####;\(###\)\ ###\-####"/>
    <numFmt numFmtId="169" formatCode="0.0##\ ###\ #"/>
    <numFmt numFmtId="170" formatCode="0.0##\ ###\ ###"/>
    <numFmt numFmtId="171" formatCode="###,##0.0##\ ###\ ###"/>
    <numFmt numFmtId="172" formatCode="0.000\ 000"/>
    <numFmt numFmtId="173" formatCode=";;"/>
    <numFmt numFmtId="174" formatCode="0.000000000000000"/>
    <numFmt numFmtId="175" formatCode="0.0##\ ###\ "/>
    <numFmt numFmtId="176" formatCode="0.000000000000"/>
    <numFmt numFmtId="177" formatCode="0.00000"/>
    <numFmt numFmtId="178" formatCode="0.0%"/>
    <numFmt numFmtId="179" formatCode="0.0##\ ###%"/>
    <numFmt numFmtId="180" formatCode="0.0##\ ###_)"/>
    <numFmt numFmtId="181" formatCode="0.0###\ ###\ "/>
    <numFmt numFmtId="182" formatCode="0.0###\ ###\ ###"/>
    <numFmt numFmtId="183" formatCode="0000"/>
    <numFmt numFmtId="184" formatCode="mm/dd/yyyy"/>
    <numFmt numFmtId="185" formatCode="[$-409]dddd\,\ mmmm\ dd\,\ yyyy"/>
    <numFmt numFmtId="186" formatCode="0.0"/>
    <numFmt numFmtId="187" formatCode="0.000000"/>
    <numFmt numFmtId="188" formatCode="0.0##\ ###\ ###_)"/>
    <numFmt numFmtId="189" formatCode="###\ ##0.0##\ ###\ ###"/>
    <numFmt numFmtId="190" formatCode="[$-409]h:mm:ss\ AM/PM"/>
    <numFmt numFmtId="191" formatCode="0.0000000_)"/>
    <numFmt numFmtId="192" formatCode="0.000000000"/>
    <numFmt numFmtId="193" formatCode="0.0##\ ###"/>
    <numFmt numFmtId="194" formatCode="#,##0.0##\ ###"/>
    <numFmt numFmtId="195" formatCode="0.0##\ "/>
    <numFmt numFmtId="196" formatCode="0.00000000"/>
    <numFmt numFmtId="197" formatCode="&quot;Yes&quot;;&quot;Yes&quot;;&quot;No&quot;"/>
    <numFmt numFmtId="198" formatCode="&quot;True&quot;;&quot;True&quot;;&quot;False&quot;"/>
    <numFmt numFmtId="199" formatCode="&quot;On&quot;;&quot;On&quot;;&quot;Off&quot;"/>
    <numFmt numFmtId="200" formatCode="[$€-2]\ #,##0.00_);[Red]\([$€-2]\ #,##0.00\)"/>
  </numFmts>
  <fonts count="88">
    <font>
      <sz val="12"/>
      <name val="Helv"/>
      <family val="0"/>
    </font>
    <font>
      <sz val="12"/>
      <color indexed="8"/>
      <name val="Trebuchet MS"/>
      <family val="2"/>
    </font>
    <font>
      <sz val="10"/>
      <name val="Arial"/>
      <family val="2"/>
    </font>
    <font>
      <sz val="12"/>
      <name val="Times New Roman"/>
      <family val="1"/>
    </font>
    <font>
      <sz val="10"/>
      <name val="Times New Roman"/>
      <family val="1"/>
    </font>
    <font>
      <sz val="18"/>
      <name val="Arial"/>
      <family val="2"/>
    </font>
    <font>
      <sz val="12"/>
      <name val="Arial"/>
      <family val="2"/>
    </font>
    <font>
      <sz val="11"/>
      <name val="Times New Roman"/>
      <family val="1"/>
    </font>
    <font>
      <sz val="8"/>
      <name val="Helv"/>
      <family val="0"/>
    </font>
    <font>
      <u val="single"/>
      <sz val="10"/>
      <color indexed="12"/>
      <name val="Arial"/>
      <family val="2"/>
    </font>
    <font>
      <sz val="10"/>
      <name val="Courier"/>
      <family val="3"/>
    </font>
    <font>
      <b/>
      <sz val="8"/>
      <color indexed="8"/>
      <name val="Times New Roman"/>
      <family val="1"/>
    </font>
    <font>
      <sz val="8"/>
      <color indexed="8"/>
      <name val="Times New Roman"/>
      <family val="1"/>
    </font>
    <font>
      <u val="single"/>
      <sz val="8"/>
      <color indexed="12"/>
      <name val="Arial"/>
      <family val="2"/>
    </font>
    <font>
      <sz val="10"/>
      <name val="Trebuchet MS"/>
      <family val="2"/>
    </font>
    <font>
      <sz val="11"/>
      <name val="Trebuchet MS"/>
      <family val="2"/>
    </font>
    <font>
      <b/>
      <sz val="10"/>
      <name val="Trebuchet MS"/>
      <family val="2"/>
    </font>
    <font>
      <vertAlign val="superscript"/>
      <sz val="10"/>
      <name val="Trebuchet MS"/>
      <family val="2"/>
    </font>
    <font>
      <vertAlign val="subscript"/>
      <sz val="10"/>
      <name val="Trebuchet MS"/>
      <family val="2"/>
    </font>
    <font>
      <b/>
      <i/>
      <sz val="10"/>
      <name val="Trebuchet MS"/>
      <family val="2"/>
    </font>
    <font>
      <b/>
      <sz val="10"/>
      <color indexed="56"/>
      <name val="Trebuchet MS"/>
      <family val="2"/>
    </font>
    <font>
      <sz val="11"/>
      <name val="Tahoma"/>
      <family val="2"/>
    </font>
    <font>
      <b/>
      <sz val="12"/>
      <name val="Trebuchet MS"/>
      <family val="2"/>
    </font>
    <font>
      <sz val="16"/>
      <name val="Trebuchet MS"/>
      <family val="2"/>
    </font>
    <font>
      <sz val="12"/>
      <name val="Tahoma"/>
      <family val="2"/>
    </font>
    <font>
      <i/>
      <sz val="12"/>
      <name val="Trebuchet MS"/>
      <family val="2"/>
    </font>
    <font>
      <sz val="12"/>
      <name val="Trebuchet MS"/>
      <family val="2"/>
    </font>
    <font>
      <sz val="14"/>
      <name val="Trebuchet MS"/>
      <family val="2"/>
    </font>
    <font>
      <sz val="9"/>
      <name val="Tahoma"/>
      <family val="2"/>
    </font>
    <font>
      <i/>
      <sz val="10"/>
      <name val="Trebuchet MS"/>
      <family val="2"/>
    </font>
    <font>
      <i/>
      <sz val="11"/>
      <name val="Tahoma"/>
      <family val="2"/>
    </font>
    <font>
      <i/>
      <vertAlign val="subscript"/>
      <sz val="11"/>
      <name val="Tahoma"/>
      <family val="2"/>
    </font>
    <font>
      <b/>
      <i/>
      <sz val="11"/>
      <name val="Arial"/>
      <family val="2"/>
    </font>
    <font>
      <vertAlign val="subscript"/>
      <sz val="11"/>
      <name val="Trebuchet MS"/>
      <family val="2"/>
    </font>
    <font>
      <sz val="9"/>
      <name val="Trebuchet MS"/>
      <family val="2"/>
    </font>
    <font>
      <i/>
      <sz val="11"/>
      <name val="Trebuchet MS"/>
      <family val="2"/>
    </font>
    <font>
      <b/>
      <sz val="9"/>
      <color indexed="17"/>
      <name val="Lucida Sans Unicode"/>
      <family val="2"/>
    </font>
    <font>
      <sz val="14"/>
      <color indexed="17"/>
      <name val="Lucida Sans Unicode"/>
      <family val="2"/>
    </font>
    <font>
      <sz val="12"/>
      <color indexed="17"/>
      <name val="Lucida Sans Unicode"/>
      <family val="2"/>
    </font>
    <font>
      <b/>
      <i/>
      <sz val="9"/>
      <color indexed="17"/>
      <name val="Trebuchet MS"/>
      <family val="2"/>
    </font>
    <font>
      <b/>
      <i/>
      <sz val="8"/>
      <color indexed="17"/>
      <name val="Trebuchet MS"/>
      <family val="2"/>
    </font>
    <font>
      <sz val="18"/>
      <name val="Trebuchet MS"/>
      <family val="2"/>
    </font>
    <font>
      <b/>
      <u val="single"/>
      <sz val="10"/>
      <name val="Trebuchet MS"/>
      <family val="2"/>
    </font>
    <font>
      <b/>
      <u val="single"/>
      <sz val="11"/>
      <name val="Trebuchet MS"/>
      <family val="2"/>
    </font>
    <font>
      <sz val="8"/>
      <name val="Trebuchet MS"/>
      <family val="2"/>
    </font>
    <font>
      <b/>
      <sz val="11"/>
      <name val="Trebuchet MS"/>
      <family val="2"/>
    </font>
    <font>
      <sz val="10"/>
      <color indexed="8"/>
      <name val="Trebuchet MS"/>
      <family val="2"/>
    </font>
    <font>
      <sz val="7"/>
      <color indexed="8"/>
      <name val="Trebuchet MS"/>
      <family val="2"/>
    </font>
    <font>
      <b/>
      <i/>
      <sz val="12"/>
      <name val="Trebuchet MS"/>
      <family val="2"/>
    </font>
    <font>
      <b/>
      <sz val="9"/>
      <color indexed="60"/>
      <name val="Tahoma"/>
      <family val="2"/>
    </font>
    <font>
      <u val="single"/>
      <sz val="11"/>
      <name val="Trebuchet MS"/>
      <family val="2"/>
    </font>
    <font>
      <b/>
      <sz val="9"/>
      <name val="Trebuchet MS"/>
      <family val="2"/>
    </font>
    <font>
      <sz val="14"/>
      <name val="Tahoma"/>
      <family val="2"/>
    </font>
    <font>
      <sz val="12"/>
      <color indexed="10"/>
      <name val="Trebuchet MS"/>
      <family val="2"/>
    </font>
    <font>
      <sz val="8"/>
      <color indexed="10"/>
      <name val="Trebuchet MS"/>
      <family val="2"/>
    </font>
    <font>
      <sz val="10"/>
      <color indexed="10"/>
      <name val="Trebuchet MS"/>
      <family val="2"/>
    </font>
    <font>
      <sz val="11"/>
      <name val="Arial"/>
      <family val="2"/>
    </font>
    <font>
      <i/>
      <sz val="10"/>
      <color indexed="8"/>
      <name val="Trebuchet MS"/>
      <family val="2"/>
    </font>
    <font>
      <sz val="14.5"/>
      <color indexed="8"/>
      <name val="Arial"/>
      <family val="2"/>
    </font>
    <font>
      <sz val="12"/>
      <color indexed="8"/>
      <name val="Tahoma"/>
      <family val="2"/>
    </font>
    <font>
      <sz val="12"/>
      <color indexed="9"/>
      <name val="Trebuchet MS"/>
      <family val="2"/>
    </font>
    <font>
      <sz val="12"/>
      <color indexed="20"/>
      <name val="Trebuchet MS"/>
      <family val="2"/>
    </font>
    <font>
      <b/>
      <sz val="12"/>
      <color indexed="52"/>
      <name val="Trebuchet MS"/>
      <family val="2"/>
    </font>
    <font>
      <b/>
      <sz val="12"/>
      <color indexed="9"/>
      <name val="Trebuchet MS"/>
      <family val="2"/>
    </font>
    <font>
      <i/>
      <sz val="12"/>
      <color indexed="23"/>
      <name val="Trebuchet MS"/>
      <family val="2"/>
    </font>
    <font>
      <sz val="12"/>
      <color indexed="17"/>
      <name val="Trebuchet MS"/>
      <family val="2"/>
    </font>
    <font>
      <b/>
      <sz val="11"/>
      <color indexed="62"/>
      <name val="Trebuchet MS"/>
      <family val="2"/>
    </font>
    <font>
      <sz val="12"/>
      <color indexed="62"/>
      <name val="Trebuchet MS"/>
      <family val="2"/>
    </font>
    <font>
      <sz val="12"/>
      <color indexed="52"/>
      <name val="Trebuchet MS"/>
      <family val="2"/>
    </font>
    <font>
      <sz val="12"/>
      <color indexed="60"/>
      <name val="Trebuchet MS"/>
      <family val="2"/>
    </font>
    <font>
      <b/>
      <sz val="12"/>
      <color indexed="63"/>
      <name val="Trebuchet MS"/>
      <family val="2"/>
    </font>
    <font>
      <b/>
      <sz val="18"/>
      <color indexed="62"/>
      <name val="Cambria"/>
      <family val="2"/>
    </font>
    <font>
      <sz val="12"/>
      <color theme="1"/>
      <name val="Trebuchet MS"/>
      <family val="2"/>
    </font>
    <font>
      <sz val="12"/>
      <color theme="0"/>
      <name val="Trebuchet MS"/>
      <family val="2"/>
    </font>
    <font>
      <sz val="12"/>
      <color rgb="FF9C0006"/>
      <name val="Trebuchet MS"/>
      <family val="2"/>
    </font>
    <font>
      <b/>
      <sz val="12"/>
      <color rgb="FFFA7D00"/>
      <name val="Trebuchet MS"/>
      <family val="2"/>
    </font>
    <font>
      <b/>
      <sz val="12"/>
      <color theme="0"/>
      <name val="Trebuchet MS"/>
      <family val="2"/>
    </font>
    <font>
      <i/>
      <sz val="12"/>
      <color rgb="FF7F7F7F"/>
      <name val="Trebuchet MS"/>
      <family val="2"/>
    </font>
    <font>
      <sz val="12"/>
      <color rgb="FF006100"/>
      <name val="Trebuchet MS"/>
      <family val="2"/>
    </font>
    <font>
      <b/>
      <sz val="11"/>
      <color theme="3"/>
      <name val="Trebuchet MS"/>
      <family val="2"/>
    </font>
    <font>
      <sz val="12"/>
      <color rgb="FF3F3F76"/>
      <name val="Trebuchet MS"/>
      <family val="2"/>
    </font>
    <font>
      <sz val="12"/>
      <color rgb="FFFA7D00"/>
      <name val="Trebuchet MS"/>
      <family val="2"/>
    </font>
    <font>
      <sz val="12"/>
      <color rgb="FF9C6500"/>
      <name val="Trebuchet MS"/>
      <family val="2"/>
    </font>
    <font>
      <b/>
      <sz val="12"/>
      <color rgb="FF3F3F3F"/>
      <name val="Trebuchet MS"/>
      <family val="2"/>
    </font>
    <font>
      <b/>
      <sz val="18"/>
      <color theme="3"/>
      <name val="Cambria"/>
      <family val="2"/>
    </font>
    <font>
      <sz val="12"/>
      <color rgb="FFFF0000"/>
      <name val="Trebuchet MS"/>
      <family val="2"/>
    </font>
    <font>
      <sz val="12"/>
      <color rgb="FF000000"/>
      <name val="Trebuchet MS"/>
      <family val="2"/>
    </font>
    <font>
      <b/>
      <sz val="8"/>
      <name val="Helv"/>
      <family val="2"/>
    </font>
  </fonts>
  <fills count="250">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51"/>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2"/>
        <bgColor indexed="64"/>
      </patternFill>
    </fill>
    <fill>
      <gradientFill degree="90">
        <stop position="0">
          <color theme="0"/>
        </stop>
        <stop position="1">
          <color theme="6"/>
        </stop>
      </gradientFill>
    </fill>
    <fill>
      <gradientFill degree="90">
        <stop position="0">
          <color theme="0"/>
        </stop>
        <stop position="1">
          <color theme="6"/>
        </stop>
      </gradientFill>
    </fill>
    <fill>
      <gradientFill degree="90">
        <stop position="0">
          <color theme="0"/>
        </stop>
        <stop position="1">
          <color theme="6"/>
        </stop>
      </gradientFill>
    </fill>
    <fill>
      <gradientFill degree="90">
        <stop position="0">
          <color theme="0"/>
        </stop>
        <stop position="1">
          <color theme="6"/>
        </stop>
      </gradientFill>
    </fill>
    <fill>
      <gradientFill degree="90">
        <stop position="0">
          <color theme="0"/>
        </stop>
        <stop position="1">
          <color theme="6"/>
        </stop>
      </gradientFill>
    </fill>
    <fill>
      <gradientFill degree="90">
        <stop position="0">
          <color theme="0"/>
        </stop>
        <stop position="1">
          <color theme="6"/>
        </stop>
      </gradientFill>
    </fill>
    <fill>
      <gradientFill degree="90">
        <stop position="0">
          <color theme="0"/>
        </stop>
        <stop position="1">
          <color theme="6"/>
        </stop>
      </gradientFill>
    </fill>
    <fill>
      <gradientFill degree="90">
        <stop position="0">
          <color theme="0"/>
        </stop>
        <stop position="1">
          <color theme="5"/>
        </stop>
      </gradientFill>
    </fill>
    <fill>
      <gradientFill degree="90">
        <stop position="0">
          <color theme="0"/>
        </stop>
        <stop position="1">
          <color theme="5"/>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stop position="0">
          <color theme="0"/>
        </stop>
        <stop position="1">
          <color theme="9"/>
        </stop>
      </gradientFill>
    </fill>
    <fill>
      <gradientFill>
        <stop position="0">
          <color theme="0"/>
        </stop>
        <stop position="1">
          <color theme="9"/>
        </stop>
      </gradientFill>
    </fill>
    <fill>
      <gradientFill>
        <stop position="0">
          <color theme="0"/>
        </stop>
        <stop position="1">
          <color theme="9"/>
        </stop>
      </gradientFill>
    </fill>
    <fill>
      <gradientFill>
        <stop position="0">
          <color theme="0"/>
        </stop>
        <stop position="1">
          <color theme="9"/>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4"/>
        </stop>
      </gradientFill>
    </fill>
    <fill>
      <patternFill patternType="solid">
        <fgColor indexed="22"/>
        <bgColor indexed="64"/>
      </patternFill>
    </fill>
    <fill>
      <patternFill patternType="solid">
        <fgColor theme="0" tint="-0.1499900072813034"/>
        <bgColor indexed="64"/>
      </patternFill>
    </fill>
    <fill>
      <gradientFill>
        <stop position="0">
          <color theme="0"/>
        </stop>
        <stop position="1">
          <color theme="6" tint="-0.2509700059890747"/>
        </stop>
      </gradientFill>
    </fill>
    <fill>
      <gradientFill>
        <stop position="0">
          <color theme="0"/>
        </stop>
        <stop position="1">
          <color theme="9" tint="-0.2509700059890747"/>
        </stop>
      </gradientFill>
    </fill>
    <fill>
      <gradientFill>
        <stop position="0">
          <color theme="0"/>
        </stop>
        <stop position="1">
          <color theme="8" tint="-0.2509700059890747"/>
        </stop>
      </gradientFill>
    </fill>
    <fill>
      <gradientFill>
        <stop position="0">
          <color theme="0"/>
        </stop>
        <stop position="1">
          <color theme="1" tint="0.1490200012922287"/>
        </stop>
      </gradientFill>
    </fill>
    <fill>
      <gradientFill>
        <stop position="0">
          <color theme="0"/>
        </stop>
        <stop position="1">
          <color theme="7" tint="-0.2509700059890747"/>
        </stop>
      </gradientFill>
    </fill>
    <fill>
      <gradientFill degree="90">
        <stop position="0">
          <color theme="0"/>
        </stop>
        <stop position="1">
          <color theme="5" tint="-0.2509700059890747"/>
        </stop>
      </gradientFill>
    </fill>
    <fill>
      <gradientFill degree="90">
        <stop position="0">
          <color theme="0"/>
        </stop>
        <stop position="1">
          <color theme="3" tint="0.40000998973846436"/>
        </stop>
      </gradientFill>
    </fill>
    <fill>
      <gradientFill>
        <stop position="0">
          <color theme="0"/>
        </stop>
        <stop position="1">
          <color rgb="FF002060"/>
        </stop>
      </gradientFill>
    </fill>
    <fill>
      <gradientFill>
        <stop position="0">
          <color theme="0"/>
        </stop>
        <stop position="1">
          <color theme="6" tint="-0.2509700059890747"/>
        </stop>
      </gradientFill>
    </fill>
    <fill>
      <gradientFill>
        <stop position="0">
          <color theme="0"/>
        </stop>
        <stop position="1">
          <color theme="9" tint="-0.2509700059890747"/>
        </stop>
      </gradientFill>
    </fill>
    <fill>
      <gradientFill>
        <stop position="0">
          <color theme="0"/>
        </stop>
        <stop position="1">
          <color theme="8" tint="-0.2509700059890747"/>
        </stop>
      </gradientFill>
    </fill>
    <fill>
      <gradientFill>
        <stop position="0">
          <color theme="0"/>
        </stop>
        <stop position="1">
          <color theme="1" tint="0.1490200012922287"/>
        </stop>
      </gradientFill>
    </fill>
    <fill>
      <gradientFill>
        <stop position="0">
          <color theme="0"/>
        </stop>
        <stop position="1">
          <color theme="7" tint="-0.2509700059890747"/>
        </stop>
      </gradientFill>
    </fill>
    <fill>
      <gradientFill degree="90">
        <stop position="0">
          <color theme="0"/>
        </stop>
        <stop position="1">
          <color theme="5" tint="-0.2509700059890747"/>
        </stop>
      </gradientFill>
    </fill>
    <fill>
      <gradientFill degree="90">
        <stop position="0">
          <color theme="0"/>
        </stop>
        <stop position="1">
          <color theme="3" tint="0.40000998973846436"/>
        </stop>
      </gradientFill>
    </fill>
    <fill>
      <gradientFill>
        <stop position="0">
          <color theme="0"/>
        </stop>
        <stop position="1">
          <color rgb="FF002060"/>
        </stop>
      </gradientFill>
    </fill>
    <fill>
      <gradientFill>
        <stop position="0">
          <color theme="0"/>
        </stop>
        <stop position="1">
          <color theme="8" tint="-0.2509700059890747"/>
        </stop>
      </gradientFill>
    </fill>
    <fill>
      <gradientFill>
        <stop position="0">
          <color theme="0"/>
        </stop>
        <stop position="1">
          <color theme="1" tint="0.1490200012922287"/>
        </stop>
      </gradientFill>
    </fill>
    <fill>
      <gradientFill>
        <stop position="0">
          <color theme="0"/>
        </stop>
        <stop position="1">
          <color theme="7" tint="-0.2509700059890747"/>
        </stop>
      </gradientFill>
    </fill>
    <fill>
      <gradientFill>
        <stop position="0">
          <color theme="0"/>
        </stop>
        <stop position="1">
          <color theme="9" tint="-0.2509700059890747"/>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rgb="FFFFFF66"/>
        </stop>
      </gradientFill>
    </fill>
    <fill>
      <gradientFill degree="90">
        <stop position="0">
          <color theme="0"/>
        </stop>
        <stop position="1">
          <color rgb="FFFFFF66"/>
        </stop>
      </gradientFill>
    </fill>
    <fill>
      <gradientFill degree="90">
        <stop position="0">
          <color theme="0"/>
        </stop>
        <stop position="1">
          <color rgb="FFFFFF66"/>
        </stop>
      </gradientFill>
    </fill>
    <fill>
      <gradientFill degree="90">
        <stop position="0">
          <color theme="0"/>
        </stop>
        <stop position="1">
          <color rgb="FFFFFF66"/>
        </stop>
      </gradientFill>
    </fill>
    <fill>
      <gradientFill degree="90">
        <stop position="0">
          <color theme="0"/>
        </stop>
        <stop position="1">
          <color rgb="FFFFFF66"/>
        </stop>
      </gradientFill>
    </fill>
    <fill>
      <gradientFill>
        <stop position="0">
          <color theme="0"/>
        </stop>
        <stop position="1">
          <color theme="6" tint="-0.2509700059890747"/>
        </stop>
      </gradientFill>
    </fill>
    <fill>
      <patternFill patternType="solid">
        <fgColor theme="0"/>
        <bgColor indexed="64"/>
      </patternFill>
    </fill>
    <fill>
      <patternFill patternType="solid">
        <fgColor rgb="FFEAF1DD"/>
        <bgColor indexed="64"/>
      </pattern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type="path" left="0.5" right="0.5" top="0.5" bottom="0.5">
        <stop position="0">
          <color theme="0"/>
        </stop>
        <stop position="1">
          <color theme="4"/>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2" tint="-0.4980199933052063"/>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type="path" left="0.5" right="0.5" top="0.5" bottom="0.5">
        <stop position="0">
          <color theme="0"/>
        </stop>
        <stop position="1">
          <color theme="4"/>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patternFill patternType="solid">
        <fgColor theme="2" tint="-0.8999800086021423"/>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9"/>
        </stop>
      </gradientFill>
    </fill>
    <fill>
      <gradientFill>
        <stop position="0">
          <color theme="0"/>
        </stop>
        <stop position="1">
          <color theme="9"/>
        </stop>
      </gradientFill>
    </fill>
    <fill>
      <gradientFill degree="90">
        <stop position="0">
          <color theme="0"/>
        </stop>
        <stop position="1">
          <color theme="6"/>
        </stop>
      </gradientFill>
    </fill>
    <fill>
      <gradientFill degree="90">
        <stop position="0">
          <color theme="0"/>
        </stop>
        <stop position="1">
          <color theme="7"/>
        </stop>
      </gradientFill>
    </fill>
    <fill>
      <gradientFill degree="90">
        <stop position="0">
          <color theme="0"/>
        </stop>
        <stop position="1">
          <color theme="7"/>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24"/>
      </top>
      <bottom/>
    </border>
    <border>
      <left/>
      <right/>
      <top/>
      <bottom style="medium"/>
    </border>
    <border>
      <left style="hair"/>
      <right style="hair"/>
      <top style="hair"/>
      <bottom style="hair"/>
    </border>
    <border>
      <left/>
      <right/>
      <top style="hair"/>
      <bottom style="thin"/>
    </border>
    <border>
      <left style="hair"/>
      <right style="hair"/>
      <top/>
      <bottom style="hair"/>
    </border>
    <border>
      <left/>
      <right/>
      <top style="medium"/>
      <bottom/>
    </border>
    <border>
      <left/>
      <right/>
      <top/>
      <bottom style="dotted"/>
    </border>
    <border>
      <left/>
      <right/>
      <top style="dotted"/>
      <bottom/>
    </border>
    <border>
      <left/>
      <right/>
      <top/>
      <bottom style="thin"/>
    </border>
    <border>
      <left/>
      <right/>
      <top/>
      <bottom style="hair"/>
    </border>
    <border>
      <left style="hair"/>
      <right style="hair"/>
      <top style="medium"/>
      <bottom style="hair"/>
    </border>
    <border>
      <left/>
      <right/>
      <top style="hair"/>
      <bottom/>
    </border>
    <border>
      <left/>
      <right/>
      <top style="hair"/>
      <bottom style="hair"/>
    </border>
    <border>
      <left style="hair"/>
      <right/>
      <top style="hair"/>
      <bottom style="hair"/>
    </border>
    <border>
      <left style="hair"/>
      <right/>
      <top style="hair"/>
      <bottom style="thin"/>
    </border>
    <border>
      <left style="hair"/>
      <right style="hair"/>
      <top/>
      <bottom style="thin"/>
    </border>
    <border>
      <left style="hair"/>
      <right/>
      <top style="thin"/>
      <bottom style="hair"/>
    </border>
    <border>
      <left/>
      <right/>
      <top style="thin"/>
      <bottom style="hair"/>
    </border>
    <border>
      <left style="hair"/>
      <right style="hair"/>
      <top/>
      <bottom style="medium"/>
    </border>
    <border>
      <left style="thin"/>
      <right style="thin"/>
      <top style="thin"/>
      <bottom style="thin"/>
    </border>
    <border>
      <left style="thin"/>
      <right/>
      <top style="thin"/>
      <bottom style="thin"/>
    </border>
    <border>
      <left style="thin"/>
      <right/>
      <top/>
      <bottom/>
    </border>
    <border>
      <left style="thin"/>
      <right style="thin"/>
      <top/>
      <bottom/>
    </border>
    <border>
      <left style="thin"/>
      <right/>
      <top/>
      <bottom style="thin"/>
    </border>
    <border>
      <left style="thin"/>
      <right style="thin"/>
      <top/>
      <bottom style="thin"/>
    </border>
    <border>
      <left style="thin"/>
      <right/>
      <top style="thin"/>
      <bottom/>
    </border>
    <border>
      <left style="thin"/>
      <right style="thin"/>
      <top style="thin"/>
      <bottom/>
    </border>
    <border>
      <left/>
      <right style="hair"/>
      <top style="hair"/>
      <bottom style="hair"/>
    </border>
    <border>
      <left style="hair"/>
      <right style="hair"/>
      <top style="hair"/>
      <bottom style="medium"/>
    </border>
    <border>
      <left style="hair"/>
      <right/>
      <top style="medium"/>
      <bottom style="thin"/>
    </border>
    <border>
      <left style="hair"/>
      <right style="hair"/>
      <top style="medium"/>
      <bottom style="thin"/>
    </border>
    <border>
      <left style="hair"/>
      <right/>
      <top/>
      <bottom style="hair"/>
    </border>
    <border>
      <left/>
      <right/>
      <top style="thin"/>
      <bottom style="thin"/>
    </border>
    <border>
      <left/>
      <right style="thin"/>
      <top style="thin"/>
      <bottom style="thin"/>
    </border>
    <border>
      <left/>
      <right style="thin"/>
      <top style="medium"/>
      <bottom style="thin"/>
    </border>
    <border>
      <left/>
      <right/>
      <top style="medium"/>
      <bottom style="thin"/>
    </border>
    <border>
      <left style="thin"/>
      <right>
        <color indexed="63"/>
      </right>
      <top style="medium"/>
      <bottom style="thin"/>
    </border>
    <border>
      <left/>
      <right/>
      <top style="medium"/>
      <bottom style="hair"/>
    </border>
    <border>
      <left/>
      <right style="hair"/>
      <top style="medium"/>
      <bottom style="hair"/>
    </border>
    <border>
      <left style="thin">
        <color rgb="FFC2D69A"/>
      </left>
      <right>
        <color indexed="63"/>
      </right>
      <top style="thin">
        <color rgb="FFC2D69A"/>
      </top>
      <bottom style="thin">
        <color rgb="FFC2D69A"/>
      </bottom>
    </border>
    <border>
      <left>
        <color indexed="63"/>
      </left>
      <right>
        <color indexed="63"/>
      </right>
      <top style="thin">
        <color rgb="FFC2D69A"/>
      </top>
      <bottom style="thin">
        <color rgb="FFC2D69A"/>
      </bottom>
    </border>
    <border>
      <left>
        <color indexed="63"/>
      </left>
      <right style="thin">
        <color rgb="FFC2D69A"/>
      </right>
      <top style="thin">
        <color rgb="FFC2D69A"/>
      </top>
      <bottom style="thin">
        <color rgb="FFC2D69A"/>
      </bottom>
    </border>
    <border>
      <left/>
      <right/>
      <top style="thin"/>
      <bottom/>
    </border>
    <border>
      <left style="hair"/>
      <right/>
      <top style="hair"/>
      <bottom/>
    </border>
    <border>
      <left/>
      <right style="hair"/>
      <top style="hair"/>
      <bottom/>
    </border>
    <border>
      <left style="hair"/>
      <right/>
      <top/>
      <bottom/>
    </border>
    <border>
      <left>
        <color indexed="63"/>
      </left>
      <right style="hair"/>
      <top>
        <color indexed="63"/>
      </top>
      <bottom>
        <color indexed="63"/>
      </bottom>
    </border>
    <border>
      <left/>
      <right style="hair"/>
      <top/>
      <bottom style="hair"/>
    </border>
    <border>
      <left/>
      <right style="hair"/>
      <top style="hair"/>
      <bottom style="thin"/>
    </border>
    <border>
      <left/>
      <right style="hair"/>
      <top style="thin"/>
      <bottom style="hair"/>
    </border>
    <border>
      <left style="hair"/>
      <right/>
      <top style="medium"/>
      <bottom style="hair"/>
    </border>
    <border>
      <left style="hair"/>
      <right/>
      <top style="hair"/>
      <bottom style="medium"/>
    </border>
    <border>
      <left/>
      <right style="hair"/>
      <top style="hair"/>
      <bottom style="medium"/>
    </border>
    <border>
      <left>
        <color indexed="63"/>
      </left>
      <right style="hair"/>
      <top style="medium"/>
      <bottom style="thin"/>
    </border>
    <border>
      <left style="hair"/>
      <right/>
      <top style="medium"/>
      <bottom/>
    </border>
    <border>
      <left style="hair"/>
      <right/>
      <top/>
      <bottom style="medium"/>
    </border>
    <border>
      <left style="hair"/>
      <right>
        <color indexed="63"/>
      </right>
      <top style="thin"/>
      <bottom>
        <color indexed="63"/>
      </bottom>
    </border>
    <border>
      <left>
        <color indexed="63"/>
      </left>
      <right style="hair"/>
      <top style="thin"/>
      <bottom>
        <color indexed="63"/>
      </bottom>
    </border>
    <border>
      <left style="thin"/>
      <right>
        <color indexed="63"/>
      </right>
      <top style="medium"/>
      <bottom>
        <color indexed="63"/>
      </bottom>
    </border>
    <border>
      <left>
        <color indexed="63"/>
      </left>
      <right style="thin"/>
      <top style="medium"/>
      <bottom>
        <color indexed="63"/>
      </bottom>
    </border>
  </borders>
  <cellStyleXfs count="139">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7"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13" borderId="0" applyNumberFormat="0" applyBorder="0" applyAlignment="0" applyProtection="0"/>
    <xf numFmtId="0" fontId="72" fillId="20" borderId="0" applyNumberFormat="0" applyBorder="0" applyAlignment="0" applyProtection="0"/>
    <xf numFmtId="0" fontId="72" fillId="7"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4" fillId="38" borderId="0" applyNumberFormat="0" applyBorder="0" applyAlignment="0" applyProtection="0"/>
    <xf numFmtId="0" fontId="75" fillId="39" borderId="1" applyNumberFormat="0" applyAlignment="0" applyProtection="0"/>
    <xf numFmtId="0" fontId="7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77"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78" fillId="41"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9" fillId="0" borderId="3" applyNumberFormat="0" applyFill="0" applyAlignment="0" applyProtection="0"/>
    <xf numFmtId="0" fontId="7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0" fillId="42" borderId="1" applyNumberFormat="0" applyAlignment="0" applyProtection="0"/>
    <xf numFmtId="0" fontId="81" fillId="0" borderId="4" applyNumberFormat="0" applyFill="0" applyAlignment="0" applyProtection="0"/>
    <xf numFmtId="0" fontId="82" fillId="43" borderId="0" applyNumberFormat="0" applyBorder="0" applyAlignment="0" applyProtection="0"/>
    <xf numFmtId="0" fontId="2" fillId="0" borderId="0">
      <alignment/>
      <protection/>
    </xf>
    <xf numFmtId="0" fontId="72" fillId="0" borderId="0">
      <alignment/>
      <protection/>
    </xf>
    <xf numFmtId="0" fontId="7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6"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4" fontId="0" fillId="0" borderId="0">
      <alignment/>
      <protection/>
    </xf>
    <xf numFmtId="0" fontId="2" fillId="0" borderId="0">
      <alignment/>
      <protection/>
    </xf>
    <xf numFmtId="164" fontId="0" fillId="0" borderId="0">
      <alignment/>
      <protection/>
    </xf>
    <xf numFmtId="0" fontId="0" fillId="44" borderId="5" applyNumberFormat="0" applyFont="0" applyAlignment="0" applyProtection="0"/>
    <xf numFmtId="0" fontId="2" fillId="44" borderId="5" applyNumberFormat="0" applyFont="0" applyAlignment="0" applyProtection="0"/>
    <xf numFmtId="0" fontId="2" fillId="44" borderId="5" applyNumberFormat="0" applyFont="0" applyAlignment="0" applyProtection="0"/>
    <xf numFmtId="0" fontId="2" fillId="44" borderId="5" applyNumberFormat="0" applyFont="0" applyAlignment="0" applyProtection="0"/>
    <xf numFmtId="0" fontId="83" fillId="39" borderId="6"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4" fillId="0" borderId="0" applyNumberFormat="0" applyFill="0" applyBorder="0" applyAlignment="0" applyProtection="0"/>
    <xf numFmtId="0" fontId="2" fillId="0" borderId="7" applyNumberFormat="0" applyFont="0" applyFill="0" applyAlignment="0" applyProtection="0"/>
    <xf numFmtId="0" fontId="2" fillId="0" borderId="7" applyNumberFormat="0" applyFont="0" applyFill="0" applyAlignment="0" applyProtection="0"/>
    <xf numFmtId="0" fontId="2" fillId="0" borderId="7" applyNumberFormat="0" applyFont="0" applyFill="0" applyAlignment="0" applyProtection="0"/>
    <xf numFmtId="0" fontId="2" fillId="0" borderId="7" applyNumberFormat="0" applyFont="0" applyFill="0" applyAlignment="0" applyProtection="0"/>
    <xf numFmtId="0" fontId="2" fillId="0" borderId="7" applyNumberFormat="0" applyFont="0" applyFill="0" applyAlignment="0" applyProtection="0"/>
    <xf numFmtId="0" fontId="85" fillId="0" borderId="0" applyNumberFormat="0" applyFill="0" applyBorder="0" applyAlignment="0" applyProtection="0"/>
  </cellStyleXfs>
  <cellXfs count="735">
    <xf numFmtId="164" fontId="0" fillId="0" borderId="0" xfId="0" applyAlignment="1">
      <alignment/>
    </xf>
    <xf numFmtId="0" fontId="2" fillId="0" borderId="0" xfId="107">
      <alignment/>
      <protection/>
    </xf>
    <xf numFmtId="0" fontId="2" fillId="0" borderId="0" xfId="107" applyBorder="1">
      <alignment/>
      <protection/>
    </xf>
    <xf numFmtId="165" fontId="3" fillId="0" borderId="0" xfId="107" applyNumberFormat="1" applyFont="1" applyAlignment="1">
      <alignment vertical="top"/>
      <protection/>
    </xf>
    <xf numFmtId="164" fontId="0" fillId="0" borderId="0" xfId="0" applyAlignment="1" applyProtection="1">
      <alignment/>
      <protection/>
    </xf>
    <xf numFmtId="0" fontId="2" fillId="0" borderId="0" xfId="109" applyFont="1">
      <alignment/>
      <protection/>
    </xf>
    <xf numFmtId="164" fontId="13" fillId="0" borderId="0" xfId="87" applyNumberFormat="1" applyFont="1" applyAlignment="1" applyProtection="1">
      <alignment horizontal="right"/>
      <protection/>
    </xf>
    <xf numFmtId="164" fontId="0" fillId="0" borderId="8" xfId="0" applyBorder="1" applyAlignment="1">
      <alignment/>
    </xf>
    <xf numFmtId="0" fontId="21" fillId="45" borderId="9" xfId="109" applyFont="1" applyFill="1" applyBorder="1" applyAlignment="1" applyProtection="1">
      <alignment horizontal="center" vertical="center"/>
      <protection locked="0"/>
    </xf>
    <xf numFmtId="0" fontId="26" fillId="0" borderId="8" xfId="107" applyFont="1" applyBorder="1" applyAlignment="1" quotePrefix="1">
      <alignment vertical="center"/>
      <protection/>
    </xf>
    <xf numFmtId="0" fontId="14" fillId="0" borderId="0" xfId="107" applyFont="1" applyBorder="1" applyAlignment="1">
      <alignment vertical="center"/>
      <protection/>
    </xf>
    <xf numFmtId="0" fontId="14" fillId="0" borderId="0" xfId="107" applyFont="1" applyBorder="1" applyAlignment="1" quotePrefix="1">
      <alignment horizontal="right" vertical="center"/>
      <protection/>
    </xf>
    <xf numFmtId="0" fontId="2" fillId="0" borderId="0" xfId="107" applyAlignment="1">
      <alignment vertical="center"/>
      <protection/>
    </xf>
    <xf numFmtId="0" fontId="14" fillId="0" borderId="0" xfId="107" applyFont="1" applyAlignment="1">
      <alignment vertical="center"/>
      <protection/>
    </xf>
    <xf numFmtId="0" fontId="26" fillId="0" borderId="0" xfId="107" applyFont="1" applyBorder="1" applyAlignment="1">
      <alignment vertical="center"/>
      <protection/>
    </xf>
    <xf numFmtId="0" fontId="27" fillId="0" borderId="0" xfId="107" applyFont="1" applyBorder="1" applyAlignment="1">
      <alignment horizontal="left" vertical="center"/>
      <protection/>
    </xf>
    <xf numFmtId="0" fontId="14" fillId="0" borderId="0" xfId="107" applyFont="1" applyAlignment="1">
      <alignment horizontal="right" vertical="center"/>
      <protection/>
    </xf>
    <xf numFmtId="0" fontId="14" fillId="0" borderId="0" xfId="107" applyFont="1" applyBorder="1" applyAlignment="1">
      <alignment horizontal="right" vertical="center"/>
      <protection/>
    </xf>
    <xf numFmtId="165" fontId="14" fillId="0" borderId="0" xfId="107" applyNumberFormat="1" applyFont="1" applyAlignment="1">
      <alignment vertical="center"/>
      <protection/>
    </xf>
    <xf numFmtId="165" fontId="3" fillId="0" borderId="0" xfId="107" applyNumberFormat="1" applyFont="1" applyAlignment="1">
      <alignment vertical="center"/>
      <protection/>
    </xf>
    <xf numFmtId="0" fontId="21" fillId="0" borderId="0" xfId="107" applyNumberFormat="1" applyFont="1" applyBorder="1" applyAlignment="1">
      <alignment horizontal="right" vertical="center"/>
      <protection/>
    </xf>
    <xf numFmtId="0" fontId="21" fillId="0" borderId="0" xfId="109" applyFont="1" applyFill="1" applyBorder="1" applyAlignment="1">
      <alignment horizontal="center" vertical="center"/>
      <protection/>
    </xf>
    <xf numFmtId="0" fontId="26" fillId="0" borderId="8" xfId="107" applyFont="1" applyBorder="1" applyAlignment="1" applyProtection="1">
      <alignment horizontal="left"/>
      <protection/>
    </xf>
    <xf numFmtId="0" fontId="3" fillId="0" borderId="8" xfId="107" applyFont="1" applyBorder="1" applyAlignment="1" applyProtection="1" quotePrefix="1">
      <alignment horizontal="right"/>
      <protection/>
    </xf>
    <xf numFmtId="172" fontId="21" fillId="0" borderId="8" xfId="107" applyNumberFormat="1" applyFont="1" applyBorder="1" applyAlignment="1" applyProtection="1">
      <alignment vertical="center"/>
      <protection/>
    </xf>
    <xf numFmtId="0" fontId="3" fillId="0" borderId="8" xfId="107" applyFont="1" applyBorder="1" applyAlignment="1" applyProtection="1" quotePrefix="1">
      <alignment horizontal="left"/>
      <protection/>
    </xf>
    <xf numFmtId="0" fontId="3" fillId="0" borderId="8" xfId="107" applyFont="1" applyBorder="1" applyProtection="1">
      <alignment/>
      <protection/>
    </xf>
    <xf numFmtId="0" fontId="2" fillId="0" borderId="8" xfId="107" applyBorder="1" applyProtection="1">
      <alignment/>
      <protection/>
    </xf>
    <xf numFmtId="0" fontId="30" fillId="0" borderId="0" xfId="111" applyFont="1" applyBorder="1" applyAlignment="1">
      <alignment horizontal="right"/>
      <protection/>
    </xf>
    <xf numFmtId="164" fontId="27" fillId="0" borderId="8" xfId="0" applyFont="1" applyBorder="1" applyAlignment="1">
      <alignment/>
    </xf>
    <xf numFmtId="164" fontId="24" fillId="0" borderId="8" xfId="0" applyFont="1" applyBorder="1" applyAlignment="1">
      <alignment horizontal="right"/>
    </xf>
    <xf numFmtId="164" fontId="0" fillId="0" borderId="0" xfId="0" applyBorder="1" applyAlignment="1">
      <alignment/>
    </xf>
    <xf numFmtId="164" fontId="0" fillId="0" borderId="10" xfId="0" applyBorder="1" applyAlignment="1">
      <alignment/>
    </xf>
    <xf numFmtId="164" fontId="0" fillId="0" borderId="10" xfId="0" applyBorder="1" applyAlignment="1" applyProtection="1">
      <alignment/>
      <protection/>
    </xf>
    <xf numFmtId="0" fontId="26" fillId="0" borderId="0" xfId="109" applyFont="1" applyBorder="1" applyAlignment="1" applyProtection="1" quotePrefix="1">
      <alignment horizontal="right"/>
      <protection/>
    </xf>
    <xf numFmtId="0" fontId="24" fillId="0" borderId="0" xfId="109" applyFont="1" applyFill="1" applyBorder="1" applyAlignment="1" applyProtection="1">
      <alignment/>
      <protection locked="0"/>
    </xf>
    <xf numFmtId="171" fontId="21" fillId="0" borderId="0" xfId="107" applyNumberFormat="1" applyFont="1" applyBorder="1" applyAlignment="1">
      <alignment horizontal="right" vertical="center"/>
      <protection/>
    </xf>
    <xf numFmtId="0" fontId="21" fillId="45" borderId="11" xfId="109" applyFont="1" applyFill="1" applyBorder="1" applyAlignment="1" applyProtection="1">
      <alignment horizontal="center" vertical="center"/>
      <protection locked="0"/>
    </xf>
    <xf numFmtId="0" fontId="21" fillId="45" borderId="9" xfId="109" applyFont="1" applyFill="1" applyBorder="1" applyAlignment="1" applyProtection="1">
      <alignment horizontal="left" vertical="center" indent="1"/>
      <protection locked="0"/>
    </xf>
    <xf numFmtId="0" fontId="14" fillId="0" borderId="0" xfId="107" applyFont="1" applyAlignment="1">
      <alignment horizontal="left" vertical="center"/>
      <protection/>
    </xf>
    <xf numFmtId="0" fontId="14" fillId="0" borderId="12" xfId="107" applyFont="1" applyBorder="1" applyAlignment="1">
      <alignment vertical="center"/>
      <protection/>
    </xf>
    <xf numFmtId="0" fontId="14" fillId="0" borderId="12" xfId="107" applyFont="1" applyBorder="1" applyAlignment="1" quotePrefix="1">
      <alignment horizontal="right" vertical="center"/>
      <protection/>
    </xf>
    <xf numFmtId="0" fontId="14" fillId="0" borderId="13" xfId="107" applyFont="1" applyBorder="1" applyAlignment="1">
      <alignment vertical="center"/>
      <protection/>
    </xf>
    <xf numFmtId="0" fontId="14" fillId="0" borderId="13" xfId="107" applyFont="1" applyBorder="1" applyAlignment="1" quotePrefix="1">
      <alignment horizontal="right" vertical="center"/>
      <protection/>
    </xf>
    <xf numFmtId="0" fontId="14" fillId="0" borderId="14" xfId="107" applyFont="1" applyBorder="1" applyAlignment="1">
      <alignment vertical="center"/>
      <protection/>
    </xf>
    <xf numFmtId="0" fontId="14" fillId="0" borderId="14" xfId="107" applyFont="1" applyBorder="1" applyAlignment="1">
      <alignment horizontal="right" vertical="center"/>
      <protection/>
    </xf>
    <xf numFmtId="0" fontId="14" fillId="0" borderId="13" xfId="107" applyFont="1" applyBorder="1" applyAlignment="1">
      <alignment horizontal="right" vertical="center"/>
      <protection/>
    </xf>
    <xf numFmtId="164" fontId="27" fillId="0" borderId="8" xfId="0" applyFont="1" applyBorder="1" applyAlignment="1">
      <alignment vertical="center"/>
    </xf>
    <xf numFmtId="164" fontId="0" fillId="0" borderId="8" xfId="0" applyBorder="1" applyAlignment="1">
      <alignment vertical="center"/>
    </xf>
    <xf numFmtId="0" fontId="26" fillId="0" borderId="8" xfId="109" applyFont="1" applyBorder="1" applyAlignment="1" applyProtection="1" quotePrefix="1">
      <alignment horizontal="right" vertical="center"/>
      <protection/>
    </xf>
    <xf numFmtId="164" fontId="0" fillId="0" borderId="0" xfId="0" applyAlignment="1">
      <alignment vertical="center"/>
    </xf>
    <xf numFmtId="0" fontId="2" fillId="0" borderId="0" xfId="109" applyAlignment="1" applyProtection="1">
      <alignment vertical="center"/>
      <protection/>
    </xf>
    <xf numFmtId="0" fontId="2" fillId="0" borderId="0" xfId="109" applyAlignment="1" applyProtection="1">
      <alignment horizontal="centerContinuous" vertical="center"/>
      <protection/>
    </xf>
    <xf numFmtId="0" fontId="2" fillId="0" borderId="0" xfId="109" applyAlignment="1">
      <alignment vertical="center"/>
      <protection/>
    </xf>
    <xf numFmtId="0" fontId="15" fillId="0" borderId="8" xfId="109" applyFont="1" applyBorder="1" applyAlignment="1" applyProtection="1">
      <alignment vertical="center"/>
      <protection/>
    </xf>
    <xf numFmtId="0" fontId="14" fillId="0" borderId="8" xfId="109" applyFont="1" applyBorder="1" applyAlignment="1" applyProtection="1">
      <alignment vertical="center"/>
      <protection/>
    </xf>
    <xf numFmtId="0" fontId="14" fillId="0" borderId="0" xfId="109" applyFont="1" applyBorder="1" applyAlignment="1" applyProtection="1">
      <alignment horizontal="centerContinuous" vertical="center"/>
      <protection/>
    </xf>
    <xf numFmtId="0" fontId="15" fillId="0" borderId="8" xfId="109" applyFont="1" applyBorder="1" applyAlignment="1" applyProtection="1" quotePrefix="1">
      <alignment horizontal="left" vertical="center"/>
      <protection/>
    </xf>
    <xf numFmtId="0" fontId="14" fillId="0" borderId="0" xfId="109" applyFont="1" applyFill="1" applyBorder="1" applyAlignment="1">
      <alignment horizontal="right" vertical="center"/>
      <protection/>
    </xf>
    <xf numFmtId="0" fontId="2" fillId="0" borderId="0" xfId="109" applyFont="1" applyAlignment="1" quotePrefix="1">
      <alignment vertical="center"/>
      <protection/>
    </xf>
    <xf numFmtId="164" fontId="14" fillId="0" borderId="0" xfId="0" applyFont="1" applyAlignment="1" applyProtection="1">
      <alignment vertical="center"/>
      <protection/>
    </xf>
    <xf numFmtId="0" fontId="2" fillId="0" borderId="0" xfId="109" applyAlignment="1">
      <alignment vertical="center" wrapText="1"/>
      <protection/>
    </xf>
    <xf numFmtId="164" fontId="15" fillId="0" borderId="8" xfId="0" applyFont="1" applyBorder="1" applyAlignment="1" applyProtection="1">
      <alignment vertical="center"/>
      <protection/>
    </xf>
    <xf numFmtId="164" fontId="14" fillId="0" borderId="8" xfId="0" applyFont="1" applyBorder="1" applyAlignment="1" applyProtection="1">
      <alignment vertical="center"/>
      <protection/>
    </xf>
    <xf numFmtId="0" fontId="2" fillId="0" borderId="8" xfId="109" applyBorder="1" applyAlignment="1">
      <alignment vertical="center"/>
      <protection/>
    </xf>
    <xf numFmtId="0" fontId="2" fillId="0" borderId="0" xfId="109" applyFont="1" applyAlignment="1">
      <alignment vertical="center"/>
      <protection/>
    </xf>
    <xf numFmtId="0" fontId="4" fillId="0" borderId="0" xfId="109" applyFont="1" applyAlignment="1">
      <alignment vertical="center"/>
      <protection/>
    </xf>
    <xf numFmtId="164" fontId="0" fillId="0" borderId="0" xfId="119" applyAlignment="1">
      <alignment/>
      <protection/>
    </xf>
    <xf numFmtId="0" fontId="36" fillId="0" borderId="0" xfId="120" applyFont="1" applyAlignment="1">
      <alignment horizontal="center"/>
      <protection/>
    </xf>
    <xf numFmtId="0" fontId="37" fillId="0" borderId="0" xfId="120" applyFont="1" applyAlignment="1">
      <alignment horizontal="center"/>
      <protection/>
    </xf>
    <xf numFmtId="0" fontId="38" fillId="0" borderId="0" xfId="120" applyFont="1" applyAlignment="1">
      <alignment horizontal="center"/>
      <protection/>
    </xf>
    <xf numFmtId="0" fontId="39" fillId="0" borderId="0" xfId="120" applyFont="1" applyAlignment="1">
      <alignment horizontal="center"/>
      <protection/>
    </xf>
    <xf numFmtId="0" fontId="40" fillId="0" borderId="0" xfId="120" applyFont="1" applyAlignment="1">
      <alignment horizontal="center"/>
      <protection/>
    </xf>
    <xf numFmtId="164" fontId="26" fillId="0" borderId="0" xfId="119" applyFont="1" applyAlignment="1">
      <alignment/>
      <protection/>
    </xf>
    <xf numFmtId="0" fontId="41" fillId="0" borderId="0" xfId="120" applyFont="1" applyAlignment="1">
      <alignment horizontal="center"/>
      <protection/>
    </xf>
    <xf numFmtId="0" fontId="42" fillId="0" borderId="0" xfId="120" applyFont="1" applyBorder="1" applyAlignment="1">
      <alignment horizontal="center"/>
      <protection/>
    </xf>
    <xf numFmtId="0" fontId="26" fillId="0" borderId="0" xfId="120" applyFont="1">
      <alignment/>
      <protection/>
    </xf>
    <xf numFmtId="0" fontId="42" fillId="0" borderId="0" xfId="120" applyFont="1" applyAlignment="1">
      <alignment horizontal="center"/>
      <protection/>
    </xf>
    <xf numFmtId="164" fontId="26" fillId="0" borderId="0" xfId="119" applyFont="1" applyBorder="1" applyAlignment="1">
      <alignment horizontal="center"/>
      <protection/>
    </xf>
    <xf numFmtId="164" fontId="26" fillId="0" borderId="0" xfId="119" applyFont="1" applyAlignment="1">
      <alignment horizontal="center"/>
      <protection/>
    </xf>
    <xf numFmtId="0" fontId="43" fillId="0" borderId="0" xfId="120" applyFont="1" applyAlignment="1">
      <alignment horizontal="center"/>
      <protection/>
    </xf>
    <xf numFmtId="164" fontId="22" fillId="0" borderId="0" xfId="119" applyFont="1" applyBorder="1" applyAlignment="1">
      <alignment horizontal="center"/>
      <protection/>
    </xf>
    <xf numFmtId="167" fontId="25" fillId="0" borderId="0" xfId="120" applyNumberFormat="1" applyFont="1" applyBorder="1" applyAlignment="1">
      <alignment horizontal="center"/>
      <protection/>
    </xf>
    <xf numFmtId="164" fontId="26" fillId="0" borderId="15" xfId="119" applyFont="1" applyBorder="1" applyAlignment="1">
      <alignment/>
      <protection/>
    </xf>
    <xf numFmtId="164" fontId="14" fillId="0" borderId="0" xfId="119" applyFont="1" applyAlignment="1">
      <alignment/>
      <protection/>
    </xf>
    <xf numFmtId="0" fontId="14" fillId="0" borderId="0" xfId="120" applyFont="1">
      <alignment/>
      <protection/>
    </xf>
    <xf numFmtId="164" fontId="0" fillId="0" borderId="0" xfId="119" applyFont="1" applyAlignment="1">
      <alignment/>
      <protection/>
    </xf>
    <xf numFmtId="0" fontId="3" fillId="0" borderId="0" xfId="120" applyFont="1">
      <alignment/>
      <protection/>
    </xf>
    <xf numFmtId="164" fontId="11" fillId="0" borderId="0" xfId="119" applyFont="1" applyAlignment="1">
      <alignment vertical="center" wrapText="1"/>
      <protection/>
    </xf>
    <xf numFmtId="164" fontId="12" fillId="0" borderId="0" xfId="119" applyFont="1" applyAlignment="1">
      <alignment horizontal="center" vertical="top"/>
      <protection/>
    </xf>
    <xf numFmtId="164" fontId="27" fillId="0" borderId="0" xfId="119" applyFont="1" applyAlignment="1">
      <alignment/>
      <protection/>
    </xf>
    <xf numFmtId="167" fontId="26" fillId="0" borderId="0" xfId="120" applyNumberFormat="1" applyFont="1" applyBorder="1" applyAlignment="1">
      <alignment horizontal="right"/>
      <protection/>
    </xf>
    <xf numFmtId="164" fontId="26" fillId="0" borderId="0" xfId="119" applyFont="1" applyBorder="1" applyAlignment="1">
      <alignment/>
      <protection/>
    </xf>
    <xf numFmtId="0" fontId="14" fillId="0" borderId="0" xfId="120" applyFont="1" applyBorder="1" applyAlignment="1">
      <alignment/>
      <protection/>
    </xf>
    <xf numFmtId="164" fontId="15" fillId="0" borderId="0" xfId="119" applyFont="1" applyBorder="1" applyAlignment="1">
      <alignment wrapText="1"/>
      <protection/>
    </xf>
    <xf numFmtId="0" fontId="45" fillId="0" borderId="0" xfId="120" applyFont="1" applyBorder="1" applyAlignment="1">
      <alignment/>
      <protection/>
    </xf>
    <xf numFmtId="0" fontId="14" fillId="0" borderId="0" xfId="120" applyFont="1" applyBorder="1" applyAlignment="1">
      <alignment horizontal="right"/>
      <protection/>
    </xf>
    <xf numFmtId="164" fontId="14" fillId="0" borderId="0" xfId="119" applyFont="1" applyAlignment="1">
      <alignment horizontal="right" vertical="top"/>
      <protection/>
    </xf>
    <xf numFmtId="0" fontId="14" fillId="0" borderId="0" xfId="120" applyFont="1" applyAlignment="1">
      <alignment horizontal="left" vertical="top" indent="1"/>
      <protection/>
    </xf>
    <xf numFmtId="0" fontId="14" fillId="0" borderId="0" xfId="120" applyFont="1" applyAlignment="1">
      <alignment vertical="top"/>
      <protection/>
    </xf>
    <xf numFmtId="0" fontId="14" fillId="0" borderId="0" xfId="120" applyFont="1" applyAlignment="1">
      <alignment horizontal="right" vertical="top"/>
      <protection/>
    </xf>
    <xf numFmtId="0" fontId="14" fillId="0" borderId="0" xfId="120" applyFont="1" applyAlignment="1">
      <alignment horizontal="right" vertical="top" wrapText="1"/>
      <protection/>
    </xf>
    <xf numFmtId="164" fontId="14" fillId="0" borderId="0" xfId="119" applyFont="1" applyAlignment="1">
      <alignment horizontal="right"/>
      <protection/>
    </xf>
    <xf numFmtId="164" fontId="14" fillId="0" borderId="0" xfId="119" applyFont="1" applyAlignment="1">
      <alignment horizontal="left" indent="1"/>
      <protection/>
    </xf>
    <xf numFmtId="164" fontId="45" fillId="0" borderId="0" xfId="119" applyFont="1" applyBorder="1" applyAlignment="1">
      <alignment/>
      <protection/>
    </xf>
    <xf numFmtId="164" fontId="26" fillId="0" borderId="0" xfId="119" applyFont="1" applyBorder="1" applyAlignment="1">
      <alignment horizontal="right"/>
      <protection/>
    </xf>
    <xf numFmtId="164" fontId="14" fillId="0" borderId="0" xfId="119" applyFont="1" applyAlignment="1">
      <alignment horizontal="left" vertical="top" indent="1"/>
      <protection/>
    </xf>
    <xf numFmtId="164" fontId="16" fillId="0" borderId="15" xfId="119" applyFont="1" applyBorder="1" applyAlignment="1">
      <alignment/>
      <protection/>
    </xf>
    <xf numFmtId="164" fontId="14" fillId="0" borderId="15" xfId="119" applyFont="1" applyBorder="1" applyAlignment="1">
      <alignment/>
      <protection/>
    </xf>
    <xf numFmtId="164" fontId="16" fillId="0" borderId="16" xfId="119" applyFont="1" applyBorder="1" applyAlignment="1">
      <alignment/>
      <protection/>
    </xf>
    <xf numFmtId="164" fontId="16" fillId="0" borderId="16" xfId="119" applyFont="1" applyBorder="1" applyAlignment="1">
      <alignment horizontal="left"/>
      <protection/>
    </xf>
    <xf numFmtId="164" fontId="16" fillId="0" borderId="16" xfId="119" applyFont="1" applyBorder="1" applyAlignment="1">
      <alignment horizontal="center"/>
      <protection/>
    </xf>
    <xf numFmtId="0" fontId="14" fillId="0" borderId="0" xfId="120" applyFont="1" applyBorder="1" applyAlignment="1">
      <alignment horizontal="left" vertical="center" wrapText="1"/>
      <protection/>
    </xf>
    <xf numFmtId="14" fontId="14" fillId="0" borderId="0" xfId="120" applyNumberFormat="1" applyFont="1" applyBorder="1" applyAlignment="1">
      <alignment horizontal="center" vertical="center" wrapText="1"/>
      <protection/>
    </xf>
    <xf numFmtId="164" fontId="26" fillId="0" borderId="0" xfId="119" applyFont="1" applyAlignment="1">
      <alignment vertical="top"/>
      <protection/>
    </xf>
    <xf numFmtId="0" fontId="14" fillId="0" borderId="0" xfId="120" applyFont="1" applyBorder="1">
      <alignment/>
      <protection/>
    </xf>
    <xf numFmtId="0" fontId="14" fillId="0" borderId="0" xfId="120" applyFont="1" applyBorder="1" applyAlignment="1">
      <alignment horizontal="center" vertical="center"/>
      <protection/>
    </xf>
    <xf numFmtId="164" fontId="45" fillId="0" borderId="8" xfId="119" applyFont="1" applyBorder="1" applyAlignment="1">
      <alignment/>
      <protection/>
    </xf>
    <xf numFmtId="164" fontId="26" fillId="0" borderId="8" xfId="119" applyFont="1" applyBorder="1" applyAlignment="1">
      <alignment/>
      <protection/>
    </xf>
    <xf numFmtId="0" fontId="16" fillId="0" borderId="11" xfId="120" applyFont="1" applyFill="1" applyBorder="1" applyAlignment="1">
      <alignment horizontal="center" vertical="center" wrapText="1"/>
      <protection/>
    </xf>
    <xf numFmtId="0" fontId="16" fillId="0" borderId="17" xfId="120" applyFont="1" applyFill="1" applyBorder="1" applyAlignment="1">
      <alignment horizontal="center" vertical="center" wrapText="1"/>
      <protection/>
    </xf>
    <xf numFmtId="164" fontId="28" fillId="0" borderId="18" xfId="119" applyFont="1" applyBorder="1" applyAlignment="1">
      <alignment horizontal="center" vertical="center"/>
      <protection/>
    </xf>
    <xf numFmtId="164" fontId="28" fillId="0" borderId="0" xfId="119" applyFont="1" applyBorder="1" applyAlignment="1">
      <alignment horizontal="center" vertical="center"/>
      <protection/>
    </xf>
    <xf numFmtId="164" fontId="24" fillId="0" borderId="0" xfId="119" applyFont="1" applyAlignment="1">
      <alignment/>
      <protection/>
    </xf>
    <xf numFmtId="0" fontId="14" fillId="0" borderId="0" xfId="109" applyFont="1" applyBorder="1" applyAlignment="1" applyProtection="1">
      <alignment vertical="center"/>
      <protection/>
    </xf>
    <xf numFmtId="164" fontId="26" fillId="0" borderId="0" xfId="119" applyFont="1" applyAlignment="1">
      <alignment horizontal="center" vertical="center"/>
      <protection/>
    </xf>
    <xf numFmtId="164" fontId="26" fillId="0" borderId="0" xfId="119" applyFont="1" applyBorder="1" applyAlignment="1">
      <alignment horizontal="center" vertical="center"/>
      <protection/>
    </xf>
    <xf numFmtId="0" fontId="26" fillId="0" borderId="0" xfId="120" applyFont="1" applyBorder="1" applyAlignment="1">
      <alignment horizontal="center"/>
      <protection/>
    </xf>
    <xf numFmtId="183" fontId="21" fillId="45" borderId="17" xfId="0" applyNumberFormat="1" applyFont="1" applyFill="1" applyBorder="1" applyAlignment="1" applyProtection="1">
      <alignment horizontal="center" vertical="center"/>
      <protection locked="0"/>
    </xf>
    <xf numFmtId="164" fontId="21" fillId="0" borderId="0" xfId="0" applyFont="1" applyAlignment="1">
      <alignment/>
    </xf>
    <xf numFmtId="14" fontId="21" fillId="0" borderId="0" xfId="0" applyNumberFormat="1" applyFont="1" applyAlignment="1">
      <alignment/>
    </xf>
    <xf numFmtId="164" fontId="26" fillId="0" borderId="0" xfId="0" applyFont="1" applyFill="1" applyAlignment="1">
      <alignment/>
    </xf>
    <xf numFmtId="164" fontId="26" fillId="0" borderId="8" xfId="0" applyFont="1" applyFill="1" applyBorder="1" applyAlignment="1">
      <alignment/>
    </xf>
    <xf numFmtId="164" fontId="26" fillId="0" borderId="8" xfId="0" applyFont="1" applyFill="1" applyBorder="1" applyAlignment="1">
      <alignment horizontal="right"/>
    </xf>
    <xf numFmtId="164" fontId="26" fillId="0" borderId="0" xfId="0" applyFont="1" applyFill="1" applyBorder="1" applyAlignment="1">
      <alignment/>
    </xf>
    <xf numFmtId="0" fontId="48" fillId="0" borderId="15" xfId="118" applyFont="1" applyFill="1" applyBorder="1" applyAlignment="1">
      <alignment horizontal="center" vertical="center" wrapText="1"/>
      <protection/>
    </xf>
    <xf numFmtId="0" fontId="48" fillId="0" borderId="15" xfId="118" applyFont="1" applyFill="1" applyBorder="1" applyAlignment="1">
      <alignment horizontal="center" vertical="center"/>
      <protection/>
    </xf>
    <xf numFmtId="0" fontId="26" fillId="0" borderId="0" xfId="118" applyFont="1" applyFill="1" applyBorder="1" applyAlignment="1">
      <alignment vertical="top" wrapText="1"/>
      <protection/>
    </xf>
    <xf numFmtId="0" fontId="26" fillId="0" borderId="0" xfId="118" applyFont="1" applyFill="1" applyBorder="1" applyAlignment="1">
      <alignment horizontal="center" vertical="top" wrapText="1"/>
      <protection/>
    </xf>
    <xf numFmtId="0" fontId="21" fillId="46" borderId="19" xfId="0" applyNumberFormat="1" applyFont="1" applyFill="1" applyBorder="1" applyAlignment="1" applyProtection="1">
      <alignment horizontal="left" vertical="center" indent="1"/>
      <protection locked="0"/>
    </xf>
    <xf numFmtId="0" fontId="26" fillId="0" borderId="8" xfId="109" applyFont="1" applyBorder="1" applyProtection="1">
      <alignment/>
      <protection/>
    </xf>
    <xf numFmtId="14" fontId="2" fillId="0" borderId="0" xfId="109" applyNumberFormat="1" applyAlignment="1" applyProtection="1">
      <alignment vertical="center"/>
      <protection/>
    </xf>
    <xf numFmtId="0" fontId="3" fillId="0" borderId="0" xfId="109" applyFont="1" applyAlignment="1" applyProtection="1">
      <alignment vertical="center"/>
      <protection/>
    </xf>
    <xf numFmtId="0" fontId="3" fillId="0" borderId="0" xfId="0" applyNumberFormat="1" applyFont="1" applyAlignment="1">
      <alignment vertical="center"/>
    </xf>
    <xf numFmtId="0" fontId="21" fillId="46" borderId="9" xfId="0" applyNumberFormat="1" applyFont="1" applyFill="1" applyBorder="1" applyAlignment="1" applyProtection="1">
      <alignment horizontal="center" vertical="center"/>
      <protection locked="0"/>
    </xf>
    <xf numFmtId="0" fontId="21" fillId="0" borderId="11" xfId="109" applyFont="1" applyFill="1" applyBorder="1" applyAlignment="1" applyProtection="1">
      <alignment horizontal="center" vertical="center"/>
      <protection locked="0"/>
    </xf>
    <xf numFmtId="0" fontId="26" fillId="0" borderId="0" xfId="107" applyFont="1" applyBorder="1" applyAlignment="1" quotePrefix="1">
      <alignment vertical="center"/>
      <protection/>
    </xf>
    <xf numFmtId="14" fontId="26" fillId="0" borderId="0" xfId="0" applyNumberFormat="1" applyFont="1" applyFill="1" applyBorder="1" applyAlignment="1">
      <alignment horizontal="center" vertical="top"/>
    </xf>
    <xf numFmtId="164" fontId="26" fillId="0" borderId="0" xfId="0" applyNumberFormat="1" applyFont="1" applyFill="1" applyBorder="1" applyAlignment="1">
      <alignment vertical="top" wrapText="1"/>
    </xf>
    <xf numFmtId="164" fontId="26" fillId="0" borderId="0" xfId="0" applyNumberFormat="1" applyFont="1" applyFill="1" applyBorder="1" applyAlignment="1">
      <alignment horizontal="center" vertical="top"/>
    </xf>
    <xf numFmtId="164" fontId="26" fillId="0" borderId="0" xfId="0" applyFont="1" applyFill="1" applyAlignment="1">
      <alignment horizontal="center"/>
    </xf>
    <xf numFmtId="14" fontId="48" fillId="0" borderId="15" xfId="118" applyNumberFormat="1" applyFont="1" applyFill="1" applyBorder="1" applyAlignment="1">
      <alignment horizontal="center" vertical="center"/>
      <protection/>
    </xf>
    <xf numFmtId="14" fontId="26" fillId="0" borderId="0" xfId="118" applyNumberFormat="1" applyFont="1" applyFill="1" applyBorder="1" applyAlignment="1">
      <alignment horizontal="center" vertical="top" wrapText="1"/>
      <protection/>
    </xf>
    <xf numFmtId="164" fontId="27" fillId="0" borderId="8" xfId="0" applyFont="1" applyFill="1" applyBorder="1" applyAlignment="1">
      <alignment/>
    </xf>
    <xf numFmtId="0" fontId="26" fillId="47" borderId="0" xfId="107" applyFont="1" applyFill="1" applyBorder="1" applyAlignment="1">
      <alignment vertical="center"/>
      <protection/>
    </xf>
    <xf numFmtId="0" fontId="26" fillId="48" borderId="0" xfId="107" applyFont="1" applyFill="1" applyBorder="1" applyAlignment="1">
      <alignment horizontal="center" vertical="center"/>
      <protection/>
    </xf>
    <xf numFmtId="0" fontId="24" fillId="49" borderId="0" xfId="107" applyFont="1" applyFill="1" applyBorder="1" applyAlignment="1">
      <alignment horizontal="left" vertical="center"/>
      <protection/>
    </xf>
    <xf numFmtId="171" fontId="24" fillId="50" borderId="0" xfId="107" applyNumberFormat="1" applyFont="1" applyFill="1" applyBorder="1" applyAlignment="1">
      <alignment horizontal="center" vertical="center"/>
      <protection/>
    </xf>
    <xf numFmtId="0" fontId="24" fillId="51" borderId="0" xfId="107" applyFont="1" applyFill="1" applyBorder="1" applyAlignment="1">
      <alignment horizontal="center" vertical="center"/>
      <protection/>
    </xf>
    <xf numFmtId="0" fontId="24" fillId="52" borderId="0" xfId="107" applyNumberFormat="1" applyFont="1" applyFill="1" applyBorder="1" applyAlignment="1">
      <alignment horizontal="right" vertical="center"/>
      <protection/>
    </xf>
    <xf numFmtId="0" fontId="24" fillId="53" borderId="0" xfId="107" applyNumberFormat="1" applyFont="1" applyFill="1" applyBorder="1" applyAlignment="1">
      <alignment horizontal="center" vertical="center"/>
      <protection/>
    </xf>
    <xf numFmtId="0" fontId="22" fillId="54" borderId="0" xfId="109" applyFont="1" applyFill="1" applyBorder="1" applyAlignment="1" applyProtection="1">
      <alignment horizontal="center" vertical="center" wrapText="1"/>
      <protection/>
    </xf>
    <xf numFmtId="0" fontId="24" fillId="55" borderId="0" xfId="107" applyFont="1" applyFill="1" applyBorder="1" applyAlignment="1">
      <alignment horizontal="left" vertical="center"/>
      <protection/>
    </xf>
    <xf numFmtId="0" fontId="14" fillId="56" borderId="11" xfId="109" applyFont="1" applyFill="1" applyBorder="1" applyAlignment="1" applyProtection="1">
      <alignment horizontal="right" vertical="center" indent="1"/>
      <protection/>
    </xf>
    <xf numFmtId="0" fontId="14" fillId="57" borderId="9" xfId="109" applyFont="1" applyFill="1" applyBorder="1" applyAlignment="1" applyProtection="1">
      <alignment horizontal="right" vertical="top" indent="1"/>
      <protection/>
    </xf>
    <xf numFmtId="0" fontId="14" fillId="58" borderId="20" xfId="109" applyFont="1" applyFill="1" applyBorder="1" applyAlignment="1" applyProtection="1">
      <alignment vertical="center"/>
      <protection/>
    </xf>
    <xf numFmtId="0" fontId="34" fillId="59" borderId="17" xfId="0" applyNumberFormat="1" applyFont="1" applyFill="1" applyBorder="1" applyAlignment="1" applyProtection="1">
      <alignment horizontal="center" vertical="center" wrapText="1"/>
      <protection/>
    </xf>
    <xf numFmtId="164" fontId="14" fillId="60" borderId="21" xfId="0" applyFont="1" applyFill="1" applyBorder="1" applyAlignment="1" applyProtection="1">
      <alignment vertical="center"/>
      <protection/>
    </xf>
    <xf numFmtId="164" fontId="14" fillId="61" borderId="10" xfId="0" applyFont="1" applyFill="1" applyBorder="1" applyAlignment="1" applyProtection="1">
      <alignment vertical="center"/>
      <protection/>
    </xf>
    <xf numFmtId="164" fontId="14" fillId="62" borderId="22" xfId="0" applyFont="1" applyFill="1" applyBorder="1" applyAlignment="1" applyProtection="1">
      <alignment horizontal="center" vertical="center" wrapText="1"/>
      <protection/>
    </xf>
    <xf numFmtId="164" fontId="14" fillId="63" borderId="23" xfId="0" applyFont="1" applyFill="1" applyBorder="1" applyAlignment="1" applyProtection="1">
      <alignment vertical="center"/>
      <protection/>
    </xf>
    <xf numFmtId="164" fontId="14" fillId="64" borderId="24" xfId="0" applyFont="1" applyFill="1" applyBorder="1" applyAlignment="1" applyProtection="1">
      <alignment vertical="center"/>
      <protection/>
    </xf>
    <xf numFmtId="164" fontId="14" fillId="65" borderId="20" xfId="0" applyFont="1" applyFill="1" applyBorder="1" applyAlignment="1" applyProtection="1">
      <alignment vertical="center"/>
      <protection/>
    </xf>
    <xf numFmtId="164" fontId="14" fillId="66" borderId="19" xfId="0" applyFont="1" applyFill="1" applyBorder="1" applyAlignment="1" applyProtection="1">
      <alignment vertical="center"/>
      <protection/>
    </xf>
    <xf numFmtId="0" fontId="14" fillId="67" borderId="25" xfId="109" applyFont="1" applyFill="1" applyBorder="1" applyAlignment="1" applyProtection="1">
      <alignment horizontal="center" vertical="center"/>
      <protection/>
    </xf>
    <xf numFmtId="0" fontId="21" fillId="68" borderId="25" xfId="109" applyNumberFormat="1" applyFont="1" applyFill="1" applyBorder="1" applyAlignment="1" applyProtection="1">
      <alignment horizontal="center" vertical="center"/>
      <protection/>
    </xf>
    <xf numFmtId="0" fontId="14" fillId="69" borderId="11" xfId="109" applyFont="1" applyFill="1" applyBorder="1" applyAlignment="1" applyProtection="1">
      <alignment horizontal="center" vertical="center"/>
      <protection/>
    </xf>
    <xf numFmtId="0" fontId="21" fillId="70" borderId="11" xfId="109" applyNumberFormat="1" applyFont="1" applyFill="1" applyBorder="1" applyAlignment="1" applyProtection="1">
      <alignment horizontal="center" vertical="center"/>
      <protection/>
    </xf>
    <xf numFmtId="14" fontId="26" fillId="0" borderId="15" xfId="118" applyNumberFormat="1" applyFont="1" applyFill="1" applyBorder="1" applyAlignment="1">
      <alignment horizontal="center" vertical="center"/>
      <protection/>
    </xf>
    <xf numFmtId="0" fontId="26" fillId="0" borderId="15" xfId="118" applyFont="1" applyFill="1" applyBorder="1" applyAlignment="1">
      <alignment horizontal="center" vertical="center" wrapText="1"/>
      <protection/>
    </xf>
    <xf numFmtId="14" fontId="26" fillId="0" borderId="15" xfId="118" applyNumberFormat="1" applyFont="1" applyFill="1" applyBorder="1" applyAlignment="1">
      <alignment vertical="center"/>
      <protection/>
    </xf>
    <xf numFmtId="14" fontId="26" fillId="0" borderId="0" xfId="118" applyNumberFormat="1" applyFont="1" applyFill="1" applyBorder="1" applyAlignment="1">
      <alignment vertical="top" wrapText="1"/>
      <protection/>
    </xf>
    <xf numFmtId="0" fontId="26" fillId="0" borderId="15" xfId="118" applyFont="1" applyFill="1" applyBorder="1" applyAlignment="1">
      <alignment vertical="center" wrapText="1"/>
      <protection/>
    </xf>
    <xf numFmtId="14" fontId="26" fillId="0" borderId="0" xfId="118" applyNumberFormat="1" applyFont="1" applyFill="1" applyAlignment="1">
      <alignment vertical="top" wrapText="1"/>
      <protection/>
    </xf>
    <xf numFmtId="0" fontId="26" fillId="0" borderId="0" xfId="118" applyFont="1" applyFill="1" applyAlignment="1">
      <alignment vertical="top" wrapText="1"/>
      <protection/>
    </xf>
    <xf numFmtId="0" fontId="26" fillId="71" borderId="0" xfId="107" applyFont="1" applyFill="1" applyBorder="1" applyAlignment="1">
      <alignment horizontal="left" vertical="center"/>
      <protection/>
    </xf>
    <xf numFmtId="0" fontId="24" fillId="72" borderId="0" xfId="107" applyFont="1" applyFill="1" applyBorder="1" applyAlignment="1">
      <alignment horizontal="left" vertical="center"/>
      <protection/>
    </xf>
    <xf numFmtId="0" fontId="26" fillId="73" borderId="0" xfId="107" applyFont="1" applyFill="1" applyBorder="1" applyAlignment="1">
      <alignment horizontal="left" vertical="center"/>
      <protection/>
    </xf>
    <xf numFmtId="0" fontId="26" fillId="74" borderId="0" xfId="107" applyFont="1" applyFill="1" applyBorder="1" applyAlignment="1">
      <alignment horizontal="center" vertical="center"/>
      <protection/>
    </xf>
    <xf numFmtId="0" fontId="24" fillId="75" borderId="0" xfId="107" applyFont="1" applyFill="1" applyBorder="1" applyAlignment="1">
      <alignment horizontal="left" vertical="center"/>
      <protection/>
    </xf>
    <xf numFmtId="0" fontId="24" fillId="76" borderId="0" xfId="107" applyFont="1" applyFill="1" applyBorder="1" applyAlignment="1">
      <alignment horizontal="center" vertical="center"/>
      <protection/>
    </xf>
    <xf numFmtId="0" fontId="26" fillId="0" borderId="0" xfId="118" applyNumberFormat="1" applyFont="1" applyFill="1" applyBorder="1" applyAlignment="1">
      <alignment horizontal="center" vertical="top" wrapText="1"/>
      <protection/>
    </xf>
    <xf numFmtId="0" fontId="26" fillId="0" borderId="0" xfId="118" applyNumberFormat="1" applyFont="1" applyFill="1" applyAlignment="1">
      <alignment horizontal="center" vertical="top" wrapText="1"/>
      <protection/>
    </xf>
    <xf numFmtId="0" fontId="23" fillId="0" borderId="0" xfId="94" applyFont="1">
      <alignment/>
      <protection/>
    </xf>
    <xf numFmtId="0" fontId="14" fillId="0" borderId="0" xfId="94" applyFont="1">
      <alignment/>
      <protection/>
    </xf>
    <xf numFmtId="0" fontId="14" fillId="0" borderId="0" xfId="94" applyFont="1" applyAlignment="1">
      <alignment horizontal="center" vertical="top"/>
      <protection/>
    </xf>
    <xf numFmtId="0" fontId="22" fillId="0" borderId="0" xfId="94" applyFont="1">
      <alignment/>
      <protection/>
    </xf>
    <xf numFmtId="0" fontId="26" fillId="0" borderId="0" xfId="94" applyFont="1">
      <alignment/>
      <protection/>
    </xf>
    <xf numFmtId="0" fontId="26" fillId="0" borderId="0" xfId="94" applyFont="1" applyAlignment="1">
      <alignment horizontal="center" vertical="top"/>
      <protection/>
    </xf>
    <xf numFmtId="0" fontId="26" fillId="0" borderId="26" xfId="94" applyFont="1" applyBorder="1" applyAlignment="1">
      <alignment horizontal="center" vertical="top" wrapText="1"/>
      <protection/>
    </xf>
    <xf numFmtId="0" fontId="26" fillId="0" borderId="27" xfId="94" applyFont="1" applyBorder="1" applyAlignment="1" applyProtection="1">
      <alignment horizontal="left" vertical="top" wrapText="1" indent="1"/>
      <protection locked="0"/>
    </xf>
    <xf numFmtId="167" fontId="26" fillId="0" borderId="26" xfId="94" applyNumberFormat="1" applyFont="1" applyBorder="1" applyAlignment="1" applyProtection="1">
      <alignment horizontal="left" vertical="top" indent="1"/>
      <protection locked="0"/>
    </xf>
    <xf numFmtId="0" fontId="26" fillId="0" borderId="26" xfId="94" applyFont="1" applyBorder="1" applyAlignment="1" applyProtection="1">
      <alignment horizontal="left" vertical="top" indent="1"/>
      <protection locked="0"/>
    </xf>
    <xf numFmtId="0" fontId="83" fillId="44" borderId="27" xfId="123" applyFont="1" applyBorder="1" applyAlignment="1">
      <alignment vertical="center"/>
    </xf>
    <xf numFmtId="0" fontId="83" fillId="44" borderId="26" xfId="123" applyFont="1" applyBorder="1" applyAlignment="1">
      <alignment vertical="center"/>
    </xf>
    <xf numFmtId="0" fontId="83" fillId="44" borderId="26" xfId="123" applyFont="1" applyBorder="1" applyAlignment="1">
      <alignment horizontal="center" vertical="top"/>
    </xf>
    <xf numFmtId="0" fontId="83" fillId="44" borderId="26" xfId="123" applyFont="1" applyBorder="1" applyAlignment="1">
      <alignment horizontal="left" vertical="center"/>
    </xf>
    <xf numFmtId="0" fontId="2" fillId="0" borderId="0" xfId="94" applyAlignment="1">
      <alignment vertical="center"/>
      <protection/>
    </xf>
    <xf numFmtId="0" fontId="72" fillId="15" borderId="28" xfId="29" applyBorder="1" applyAlignment="1">
      <alignment vertical="top" wrapText="1"/>
    </xf>
    <xf numFmtId="0" fontId="72" fillId="15" borderId="29" xfId="29" applyBorder="1" applyAlignment="1" applyProtection="1">
      <alignment horizontal="center" vertical="top"/>
      <protection locked="0"/>
    </xf>
    <xf numFmtId="0" fontId="72" fillId="15" borderId="29" xfId="29" applyBorder="1" applyAlignment="1" applyProtection="1">
      <alignment horizontal="left" vertical="top" wrapText="1"/>
      <protection locked="0"/>
    </xf>
    <xf numFmtId="0" fontId="2" fillId="0" borderId="0" xfId="94">
      <alignment/>
      <protection/>
    </xf>
    <xf numFmtId="0" fontId="72" fillId="6" borderId="28" xfId="19" applyBorder="1" applyAlignment="1">
      <alignment vertical="top" wrapText="1"/>
    </xf>
    <xf numFmtId="0" fontId="72" fillId="6" borderId="29" xfId="19" applyBorder="1" applyAlignment="1" applyProtection="1">
      <alignment horizontal="center" vertical="top"/>
      <protection locked="0"/>
    </xf>
    <xf numFmtId="0" fontId="72" fillId="6" borderId="29" xfId="19" applyBorder="1" applyAlignment="1" applyProtection="1">
      <alignment horizontal="left" vertical="top" wrapText="1"/>
      <protection locked="0"/>
    </xf>
    <xf numFmtId="0" fontId="72" fillId="15" borderId="30" xfId="29" applyBorder="1" applyAlignment="1">
      <alignment vertical="top" wrapText="1"/>
    </xf>
    <xf numFmtId="0" fontId="72" fillId="15" borderId="31" xfId="29" applyBorder="1" applyAlignment="1" applyProtection="1">
      <alignment horizontal="center" vertical="top"/>
      <protection locked="0"/>
    </xf>
    <xf numFmtId="0" fontId="72" fillId="15" borderId="31" xfId="29" applyBorder="1" applyAlignment="1" applyProtection="1">
      <alignment horizontal="left" vertical="top" wrapText="1"/>
      <protection locked="0"/>
    </xf>
    <xf numFmtId="0" fontId="72" fillId="17" borderId="28" xfId="31" applyBorder="1" applyAlignment="1">
      <alignment vertical="top" wrapText="1"/>
    </xf>
    <xf numFmtId="0" fontId="72" fillId="17" borderId="29" xfId="31" applyBorder="1" applyAlignment="1" applyProtection="1">
      <alignment horizontal="center" vertical="top"/>
      <protection locked="0"/>
    </xf>
    <xf numFmtId="0" fontId="72" fillId="17" borderId="29" xfId="31" applyBorder="1" applyAlignment="1" applyProtection="1">
      <alignment horizontal="left" vertical="top" wrapText="1"/>
      <protection locked="0"/>
    </xf>
    <xf numFmtId="0" fontId="72" fillId="8" borderId="28" xfId="21" applyBorder="1" applyAlignment="1">
      <alignment vertical="top" wrapText="1"/>
    </xf>
    <xf numFmtId="0" fontId="72" fillId="8" borderId="29" xfId="21" applyBorder="1" applyAlignment="1" applyProtection="1">
      <alignment horizontal="center" vertical="top"/>
      <protection locked="0"/>
    </xf>
    <xf numFmtId="0" fontId="72" fillId="8" borderId="29" xfId="21" applyBorder="1" applyAlignment="1" applyProtection="1">
      <alignment horizontal="left" vertical="top" wrapText="1"/>
      <protection locked="0"/>
    </xf>
    <xf numFmtId="0" fontId="72" fillId="20" borderId="28" xfId="35" applyBorder="1" applyAlignment="1">
      <alignment vertical="top" wrapText="1"/>
    </xf>
    <xf numFmtId="0" fontId="72" fillId="20" borderId="29" xfId="35" applyBorder="1" applyAlignment="1" applyProtection="1">
      <alignment horizontal="center" vertical="top"/>
      <protection locked="0"/>
    </xf>
    <xf numFmtId="0" fontId="72" fillId="20" borderId="29" xfId="35" applyBorder="1" applyAlignment="1" applyProtection="1">
      <alignment horizontal="left" vertical="top" wrapText="1"/>
      <protection locked="0"/>
    </xf>
    <xf numFmtId="0" fontId="72" fillId="11" borderId="28" xfId="24" applyBorder="1" applyAlignment="1">
      <alignment vertical="top" wrapText="1"/>
    </xf>
    <xf numFmtId="0" fontId="72" fillId="11" borderId="29" xfId="24" applyBorder="1" applyAlignment="1" applyProtection="1">
      <alignment horizontal="center" vertical="top"/>
      <protection locked="0"/>
    </xf>
    <xf numFmtId="0" fontId="72" fillId="11" borderId="29" xfId="24" applyBorder="1" applyAlignment="1" applyProtection="1">
      <alignment horizontal="left" vertical="top" wrapText="1"/>
      <protection locked="0"/>
    </xf>
    <xf numFmtId="0" fontId="72" fillId="11" borderId="30" xfId="24" applyBorder="1" applyAlignment="1">
      <alignment vertical="top" wrapText="1"/>
    </xf>
    <xf numFmtId="0" fontId="72" fillId="11" borderId="31" xfId="24" applyBorder="1" applyAlignment="1" applyProtection="1">
      <alignment horizontal="left" vertical="top" wrapText="1"/>
      <protection locked="0"/>
    </xf>
    <xf numFmtId="0" fontId="72" fillId="19" borderId="32" xfId="33" applyBorder="1" applyAlignment="1">
      <alignment vertical="top" wrapText="1"/>
    </xf>
    <xf numFmtId="0" fontId="72" fillId="19" borderId="33" xfId="33" applyBorder="1" applyAlignment="1" applyProtection="1">
      <alignment horizontal="center" vertical="top"/>
      <protection locked="0"/>
    </xf>
    <xf numFmtId="0" fontId="72" fillId="19" borderId="33" xfId="33" applyBorder="1" applyAlignment="1" applyProtection="1">
      <alignment vertical="top" wrapText="1"/>
      <protection locked="0"/>
    </xf>
    <xf numFmtId="0" fontId="72" fillId="10" borderId="28" xfId="23" applyBorder="1" applyAlignment="1">
      <alignment vertical="top" wrapText="1"/>
    </xf>
    <xf numFmtId="0" fontId="72" fillId="10" borderId="29" xfId="23" applyBorder="1" applyAlignment="1" applyProtection="1">
      <alignment horizontal="center" vertical="top"/>
      <protection locked="0"/>
    </xf>
    <xf numFmtId="0" fontId="72" fillId="10" borderId="29" xfId="23" applyBorder="1" applyAlignment="1" applyProtection="1">
      <alignment vertical="top" wrapText="1"/>
      <protection locked="0"/>
    </xf>
    <xf numFmtId="0" fontId="72" fillId="19" borderId="30" xfId="33" applyBorder="1" applyAlignment="1">
      <alignment vertical="top" wrapText="1"/>
    </xf>
    <xf numFmtId="0" fontId="72" fillId="19" borderId="31" xfId="33" applyBorder="1" applyAlignment="1" applyProtection="1">
      <alignment horizontal="center" vertical="top"/>
      <protection locked="0"/>
    </xf>
    <xf numFmtId="0" fontId="72" fillId="19" borderId="31" xfId="33" applyBorder="1" applyAlignment="1" applyProtection="1">
      <alignment vertical="top" wrapText="1"/>
      <protection locked="0"/>
    </xf>
    <xf numFmtId="0" fontId="72" fillId="14" borderId="28" xfId="28" applyBorder="1" applyAlignment="1">
      <alignment vertical="top" wrapText="1"/>
    </xf>
    <xf numFmtId="0" fontId="72" fillId="14" borderId="29" xfId="28" applyBorder="1" applyAlignment="1" applyProtection="1">
      <alignment horizontal="center" vertical="top"/>
      <protection locked="0"/>
    </xf>
    <xf numFmtId="0" fontId="72" fillId="14" borderId="29" xfId="28" applyBorder="1" applyAlignment="1" applyProtection="1">
      <alignment horizontal="left" vertical="top" wrapText="1"/>
      <protection locked="0"/>
    </xf>
    <xf numFmtId="0" fontId="72" fillId="4" borderId="28" xfId="17" applyBorder="1" applyAlignment="1">
      <alignment vertical="top" wrapText="1"/>
    </xf>
    <xf numFmtId="0" fontId="72" fillId="4" borderId="29" xfId="17" applyBorder="1" applyAlignment="1" applyProtection="1">
      <alignment horizontal="center" vertical="top"/>
      <protection locked="0"/>
    </xf>
    <xf numFmtId="0" fontId="72" fillId="4" borderId="29" xfId="17" applyBorder="1" applyAlignment="1" applyProtection="1">
      <alignment horizontal="left" vertical="top" wrapText="1"/>
      <protection locked="0"/>
    </xf>
    <xf numFmtId="0" fontId="72" fillId="4" borderId="30" xfId="17" applyBorder="1" applyAlignment="1">
      <alignment vertical="top" wrapText="1"/>
    </xf>
    <xf numFmtId="0" fontId="72" fillId="4" borderId="31" xfId="17" applyBorder="1" applyAlignment="1" applyProtection="1">
      <alignment horizontal="center" vertical="top"/>
      <protection locked="0"/>
    </xf>
    <xf numFmtId="0" fontId="72" fillId="4" borderId="31" xfId="17" applyBorder="1" applyAlignment="1" applyProtection="1">
      <alignment horizontal="left" vertical="top" wrapText="1"/>
      <protection locked="0"/>
    </xf>
    <xf numFmtId="0" fontId="72" fillId="12" borderId="32" xfId="26" applyBorder="1" applyAlignment="1">
      <alignment vertical="top" wrapText="1"/>
    </xf>
    <xf numFmtId="0" fontId="72" fillId="12" borderId="33" xfId="26" applyBorder="1" applyAlignment="1" applyProtection="1">
      <alignment horizontal="center" vertical="top"/>
      <protection locked="0"/>
    </xf>
    <xf numFmtId="0" fontId="72" fillId="12" borderId="29" xfId="26" applyBorder="1" applyAlignment="1" applyProtection="1">
      <alignment horizontal="left" vertical="top" wrapText="1"/>
      <protection locked="0"/>
    </xf>
    <xf numFmtId="0" fontId="72" fillId="2" borderId="28" xfId="15" applyBorder="1" applyAlignment="1">
      <alignment vertical="top" wrapText="1"/>
    </xf>
    <xf numFmtId="0" fontId="72" fillId="2" borderId="29" xfId="15" applyBorder="1" applyAlignment="1" applyProtection="1">
      <alignment horizontal="center" vertical="top"/>
      <protection locked="0"/>
    </xf>
    <xf numFmtId="0" fontId="72" fillId="2" borderId="29" xfId="15" applyBorder="1" applyAlignment="1" applyProtection="1">
      <alignment horizontal="left" vertical="top" wrapText="1"/>
      <protection locked="0"/>
    </xf>
    <xf numFmtId="0" fontId="72" fillId="2" borderId="30" xfId="15" applyBorder="1" applyAlignment="1">
      <alignment vertical="top" wrapText="1"/>
    </xf>
    <xf numFmtId="0" fontId="72" fillId="2" borderId="31" xfId="15" applyBorder="1" applyAlignment="1" applyProtection="1">
      <alignment horizontal="center" vertical="top"/>
      <protection locked="0"/>
    </xf>
    <xf numFmtId="0" fontId="72" fillId="2" borderId="31" xfId="15" applyBorder="1" applyAlignment="1" applyProtection="1">
      <alignment horizontal="left" vertical="top" wrapText="1"/>
      <protection locked="0"/>
    </xf>
    <xf numFmtId="0" fontId="72" fillId="6" borderId="30" xfId="19" applyBorder="1" applyAlignment="1">
      <alignment vertical="top" wrapText="1"/>
    </xf>
    <xf numFmtId="0" fontId="72" fillId="6" borderId="31" xfId="19" applyBorder="1" applyAlignment="1" applyProtection="1">
      <alignment horizontal="left" vertical="top" wrapText="1"/>
      <protection locked="0"/>
    </xf>
    <xf numFmtId="0" fontId="73" fillId="33" borderId="32" xfId="49" applyBorder="1" applyAlignment="1">
      <alignment horizontal="center" vertical="center" textRotation="90" wrapText="1"/>
    </xf>
    <xf numFmtId="0" fontId="72" fillId="17" borderId="27" xfId="31" applyBorder="1" applyAlignment="1">
      <alignment vertical="top" wrapText="1"/>
    </xf>
    <xf numFmtId="0" fontId="72" fillId="17" borderId="33" xfId="31" applyBorder="1" applyAlignment="1" applyProtection="1">
      <alignment horizontal="center" vertical="top"/>
      <protection locked="0"/>
    </xf>
    <xf numFmtId="0" fontId="72" fillId="17" borderId="33" xfId="31" applyBorder="1" applyAlignment="1" applyProtection="1">
      <alignment horizontal="left" vertical="top" wrapText="1"/>
      <protection locked="0"/>
    </xf>
    <xf numFmtId="0" fontId="73" fillId="36" borderId="27" xfId="52" applyBorder="1" applyAlignment="1">
      <alignment horizontal="center" vertical="center" textRotation="90" wrapText="1"/>
    </xf>
    <xf numFmtId="0" fontId="72" fillId="11" borderId="33" xfId="24" applyBorder="1" applyAlignment="1" applyProtection="1">
      <alignment horizontal="center" vertical="top"/>
      <protection locked="0"/>
    </xf>
    <xf numFmtId="0" fontId="72" fillId="11" borderId="26" xfId="24" applyBorder="1" applyAlignment="1" applyProtection="1">
      <alignment horizontal="left" vertical="top" wrapText="1"/>
      <protection locked="0"/>
    </xf>
    <xf numFmtId="0" fontId="72" fillId="19" borderId="29" xfId="33" applyBorder="1" applyAlignment="1" applyProtection="1">
      <alignment horizontal="left" vertical="top" wrapText="1"/>
      <protection locked="0"/>
    </xf>
    <xf numFmtId="0" fontId="72" fillId="10" borderId="29" xfId="23" applyBorder="1" applyAlignment="1" applyProtection="1">
      <alignment horizontal="left" vertical="top" wrapText="1"/>
      <protection locked="0"/>
    </xf>
    <xf numFmtId="0" fontId="72" fillId="19" borderId="28" xfId="33" applyBorder="1" applyAlignment="1">
      <alignment vertical="top" wrapText="1"/>
    </xf>
    <xf numFmtId="0" fontId="72" fillId="19" borderId="29" xfId="33" applyBorder="1" applyAlignment="1" applyProtection="1">
      <alignment horizontal="center" vertical="top"/>
      <protection locked="0"/>
    </xf>
    <xf numFmtId="0" fontId="72" fillId="10" borderId="30" xfId="23" applyBorder="1" applyAlignment="1">
      <alignment vertical="top" wrapText="1"/>
    </xf>
    <xf numFmtId="0" fontId="72" fillId="10" borderId="31" xfId="23" applyBorder="1" applyAlignment="1" applyProtection="1">
      <alignment horizontal="center" vertical="top"/>
      <protection locked="0"/>
    </xf>
    <xf numFmtId="0" fontId="72" fillId="10" borderId="31" xfId="23" applyBorder="1" applyAlignment="1" applyProtection="1">
      <alignment horizontal="left" vertical="top" wrapText="1"/>
      <protection locked="0"/>
    </xf>
    <xf numFmtId="0" fontId="2" fillId="0" borderId="0" xfId="94" applyAlignment="1">
      <alignment horizontal="center" vertical="top"/>
      <protection/>
    </xf>
    <xf numFmtId="0" fontId="2" fillId="0" borderId="0" xfId="94" applyAlignment="1">
      <alignment/>
      <protection/>
    </xf>
    <xf numFmtId="0" fontId="72" fillId="12" borderId="28" xfId="26" applyBorder="1" applyAlignment="1">
      <alignment vertical="top" wrapText="1"/>
    </xf>
    <xf numFmtId="0" fontId="72" fillId="12" borderId="29" xfId="26" applyBorder="1" applyAlignment="1" applyProtection="1">
      <alignment horizontal="center" vertical="top"/>
      <protection locked="0"/>
    </xf>
    <xf numFmtId="164" fontId="46" fillId="0" borderId="0" xfId="0" applyFont="1" applyBorder="1" applyAlignment="1">
      <alignment horizontal="left" vertical="top" wrapText="1"/>
    </xf>
    <xf numFmtId="164" fontId="26" fillId="0" borderId="0" xfId="119" applyFont="1" applyFill="1" applyBorder="1" applyAlignment="1">
      <alignment vertical="top" wrapText="1"/>
      <protection/>
    </xf>
    <xf numFmtId="164" fontId="26" fillId="0" borderId="0" xfId="0" applyFont="1" applyFill="1" applyBorder="1" applyAlignment="1">
      <alignment horizontal="center" vertical="top"/>
    </xf>
    <xf numFmtId="14" fontId="26" fillId="0" borderId="0" xfId="0" applyNumberFormat="1" applyFont="1" applyFill="1" applyAlignment="1">
      <alignment horizontal="center" vertical="top"/>
    </xf>
    <xf numFmtId="164" fontId="26" fillId="0" borderId="0" xfId="0" applyFont="1" applyFill="1" applyBorder="1" applyAlignment="1">
      <alignment vertical="top" wrapText="1"/>
    </xf>
    <xf numFmtId="164" fontId="14" fillId="0" borderId="0" xfId="119" applyFont="1" applyBorder="1" applyAlignment="1">
      <alignment/>
      <protection/>
    </xf>
    <xf numFmtId="164" fontId="14" fillId="0" borderId="0" xfId="119" applyFont="1" applyBorder="1" applyAlignment="1">
      <alignment horizontal="left"/>
      <protection/>
    </xf>
    <xf numFmtId="49" fontId="14" fillId="0" borderId="0" xfId="119" applyNumberFormat="1" applyFont="1" applyBorder="1" applyAlignment="1">
      <alignment/>
      <protection/>
    </xf>
    <xf numFmtId="49" fontId="16" fillId="0" borderId="0" xfId="119" applyNumberFormat="1" applyFont="1" applyBorder="1" applyAlignment="1">
      <alignment/>
      <protection/>
    </xf>
    <xf numFmtId="164" fontId="15" fillId="77" borderId="20" xfId="0" applyFont="1" applyFill="1" applyBorder="1" applyAlignment="1" applyProtection="1">
      <alignment horizontal="center" vertical="center" wrapText="1"/>
      <protection/>
    </xf>
    <xf numFmtId="0" fontId="15" fillId="0" borderId="0" xfId="114" applyFont="1">
      <alignment/>
      <protection/>
    </xf>
    <xf numFmtId="0" fontId="35" fillId="0" borderId="0" xfId="111" applyFont="1" applyBorder="1" applyAlignment="1">
      <alignment horizontal="center"/>
      <protection/>
    </xf>
    <xf numFmtId="0" fontId="15" fillId="0" borderId="0" xfId="111" applyFont="1" applyBorder="1">
      <alignment/>
      <protection/>
    </xf>
    <xf numFmtId="0" fontId="15" fillId="0" borderId="0" xfId="111" applyFont="1" applyBorder="1" applyAlignment="1">
      <alignment horizontal="left" vertical="center"/>
      <protection/>
    </xf>
    <xf numFmtId="0" fontId="50" fillId="0" borderId="0" xfId="114" applyFont="1">
      <alignment/>
      <protection/>
    </xf>
    <xf numFmtId="164" fontId="26" fillId="0" borderId="0" xfId="0" applyFont="1" applyFill="1" applyAlignment="1">
      <alignment horizontal="center" vertical="top"/>
    </xf>
    <xf numFmtId="14" fontId="26" fillId="0" borderId="0" xfId="118" applyNumberFormat="1" applyFont="1" applyFill="1" applyBorder="1" applyAlignment="1">
      <alignment horizontal="center" vertical="top" wrapText="1"/>
      <protection/>
    </xf>
    <xf numFmtId="0" fontId="15" fillId="0" borderId="8" xfId="109" applyFont="1" applyBorder="1" applyAlignment="1">
      <alignment vertical="center"/>
      <protection/>
    </xf>
    <xf numFmtId="0" fontId="14" fillId="0" borderId="8" xfId="109" applyFont="1" applyBorder="1" applyAlignment="1">
      <alignment vertical="center"/>
      <protection/>
    </xf>
    <xf numFmtId="0" fontId="51" fillId="78" borderId="17" xfId="0" applyNumberFormat="1" applyFont="1" applyFill="1" applyBorder="1" applyAlignment="1" applyProtection="1">
      <alignment horizontal="center" vertical="center" wrapText="1"/>
      <protection/>
    </xf>
    <xf numFmtId="0" fontId="26" fillId="0" borderId="8" xfId="107" applyFont="1" applyBorder="1" applyAlignment="1">
      <alignment vertical="center"/>
      <protection/>
    </xf>
    <xf numFmtId="0" fontId="14" fillId="0" borderId="28" xfId="107" applyFont="1" applyBorder="1" applyAlignment="1" quotePrefix="1">
      <alignment horizontal="right" vertical="center"/>
      <protection/>
    </xf>
    <xf numFmtId="14" fontId="26" fillId="0" borderId="0" xfId="119" applyNumberFormat="1" applyFont="1" applyFill="1" applyBorder="1" applyAlignment="1">
      <alignment horizontal="center" vertical="top"/>
      <protection/>
    </xf>
    <xf numFmtId="164" fontId="26" fillId="0" borderId="0" xfId="119" applyFont="1" applyFill="1" applyBorder="1" applyAlignment="1">
      <alignment horizontal="center" vertical="top"/>
      <protection/>
    </xf>
    <xf numFmtId="164" fontId="26" fillId="0" borderId="0" xfId="121" applyFont="1" applyFill="1" applyAlignment="1">
      <alignment horizontal="center" vertical="top"/>
      <protection/>
    </xf>
    <xf numFmtId="0" fontId="14" fillId="79" borderId="34" xfId="109" applyFont="1" applyFill="1" applyBorder="1" applyAlignment="1">
      <alignment horizontal="right" vertical="center" indent="1"/>
      <protection/>
    </xf>
    <xf numFmtId="0" fontId="14" fillId="80" borderId="9" xfId="109" applyFont="1" applyFill="1" applyBorder="1" applyAlignment="1" applyProtection="1">
      <alignment horizontal="right" vertical="center" indent="1"/>
      <protection/>
    </xf>
    <xf numFmtId="0" fontId="21" fillId="45" borderId="11" xfId="109" applyFont="1" applyFill="1" applyBorder="1" applyAlignment="1" applyProtection="1">
      <alignment horizontal="left" vertical="center" indent="1"/>
      <protection locked="0"/>
    </xf>
    <xf numFmtId="0" fontId="14" fillId="81" borderId="20" xfId="109" applyFont="1" applyFill="1" applyBorder="1" applyAlignment="1">
      <alignment horizontal="center" vertical="center"/>
      <protection/>
    </xf>
    <xf numFmtId="164" fontId="0" fillId="0" borderId="0" xfId="0" applyBorder="1" applyAlignment="1">
      <alignment vertical="center"/>
    </xf>
    <xf numFmtId="0" fontId="2" fillId="0" borderId="0" xfId="109" applyBorder="1" applyAlignment="1">
      <alignment vertical="center"/>
      <protection/>
    </xf>
    <xf numFmtId="0" fontId="14" fillId="0" borderId="0" xfId="109" applyFont="1" applyBorder="1" applyAlignment="1">
      <alignment vertical="center"/>
      <protection/>
    </xf>
    <xf numFmtId="0" fontId="14" fillId="0" borderId="0" xfId="109" applyFont="1" applyBorder="1" applyProtection="1">
      <alignment/>
      <protection/>
    </xf>
    <xf numFmtId="0" fontId="21" fillId="82" borderId="35" xfId="109" applyNumberFormat="1" applyFont="1" applyFill="1" applyBorder="1" applyAlignment="1" applyProtection="1">
      <alignment horizontal="center" vertical="center"/>
      <protection/>
    </xf>
    <xf numFmtId="0" fontId="21" fillId="83" borderId="9" xfId="109" applyNumberFormat="1" applyFont="1" applyFill="1" applyBorder="1" applyAlignment="1" applyProtection="1">
      <alignment horizontal="center" vertical="center"/>
      <protection/>
    </xf>
    <xf numFmtId="164" fontId="15" fillId="0" borderId="0" xfId="0" applyFont="1" applyBorder="1" applyAlignment="1" applyProtection="1">
      <alignment vertical="center"/>
      <protection/>
    </xf>
    <xf numFmtId="164" fontId="14" fillId="0" borderId="0" xfId="0" applyFont="1" applyBorder="1" applyAlignment="1" applyProtection="1">
      <alignment vertical="center"/>
      <protection/>
    </xf>
    <xf numFmtId="0" fontId="15" fillId="0" borderId="0" xfId="109" applyFont="1" applyBorder="1" applyAlignment="1" applyProtection="1">
      <alignment vertical="center"/>
      <protection/>
    </xf>
    <xf numFmtId="0" fontId="14" fillId="84" borderId="36" xfId="109" applyFont="1" applyFill="1" applyBorder="1" applyAlignment="1" applyProtection="1">
      <alignment horizontal="center" vertical="center" wrapText="1"/>
      <protection/>
    </xf>
    <xf numFmtId="164" fontId="14" fillId="85" borderId="37" xfId="0" applyFont="1" applyFill="1" applyBorder="1" applyAlignment="1" applyProtection="1">
      <alignment horizontal="center" vertical="center" wrapText="1"/>
      <protection/>
    </xf>
    <xf numFmtId="0" fontId="14" fillId="86" borderId="37" xfId="109" applyFont="1" applyFill="1" applyBorder="1" applyAlignment="1" applyProtection="1" quotePrefix="1">
      <alignment horizontal="center" vertical="center" wrapText="1"/>
      <protection/>
    </xf>
    <xf numFmtId="0" fontId="14" fillId="87" borderId="37" xfId="109" applyFont="1" applyFill="1" applyBorder="1" applyAlignment="1" applyProtection="1">
      <alignment horizontal="centerContinuous" vertical="center" wrapText="1"/>
      <protection/>
    </xf>
    <xf numFmtId="0" fontId="14" fillId="88" borderId="37" xfId="109" applyFont="1" applyFill="1" applyBorder="1" applyAlignment="1" applyProtection="1">
      <alignment horizontal="center" vertical="center" wrapText="1"/>
      <protection/>
    </xf>
    <xf numFmtId="0" fontId="34" fillId="89" borderId="37" xfId="0" applyNumberFormat="1" applyFont="1" applyFill="1" applyBorder="1" applyAlignment="1" applyProtection="1">
      <alignment horizontal="center" vertical="center" wrapText="1"/>
      <protection/>
    </xf>
    <xf numFmtId="0" fontId="2" fillId="0" borderId="0" xfId="107" applyAlignment="1">
      <alignment horizontal="right" vertical="center"/>
      <protection/>
    </xf>
    <xf numFmtId="0" fontId="14" fillId="0" borderId="0" xfId="107" applyFont="1">
      <alignment/>
      <protection/>
    </xf>
    <xf numFmtId="171" fontId="14" fillId="0" borderId="0" xfId="107" applyNumberFormat="1" applyFont="1" applyBorder="1" applyAlignment="1">
      <alignment vertical="center"/>
      <protection/>
    </xf>
    <xf numFmtId="0" fontId="14" fillId="0" borderId="0" xfId="107" applyNumberFormat="1" applyFont="1" applyBorder="1" applyAlignment="1">
      <alignment vertical="center"/>
      <protection/>
    </xf>
    <xf numFmtId="0" fontId="52" fillId="0" borderId="8" xfId="94" applyNumberFormat="1" applyFont="1" applyFill="1" applyBorder="1" applyAlignment="1" applyProtection="1">
      <alignment/>
      <protection/>
    </xf>
    <xf numFmtId="0" fontId="24" fillId="14" borderId="12" xfId="94" applyNumberFormat="1" applyFont="1" applyFill="1" applyBorder="1" applyAlignment="1" applyProtection="1">
      <alignment/>
      <protection/>
    </xf>
    <xf numFmtId="164" fontId="14" fillId="90" borderId="38" xfId="0" applyFont="1" applyFill="1" applyBorder="1" applyAlignment="1">
      <alignment horizontal="center" vertical="center"/>
    </xf>
    <xf numFmtId="14" fontId="21" fillId="0" borderId="27" xfId="0" applyNumberFormat="1" applyFont="1" applyBorder="1" applyAlignment="1" applyProtection="1">
      <alignment/>
      <protection/>
    </xf>
    <xf numFmtId="0" fontId="21" fillId="0" borderId="39" xfId="0" applyNumberFormat="1" applyFont="1" applyBorder="1" applyAlignment="1" applyProtection="1">
      <alignment/>
      <protection/>
    </xf>
    <xf numFmtId="164" fontId="21" fillId="0" borderId="39" xfId="0" applyFont="1" applyBorder="1" applyAlignment="1" applyProtection="1">
      <alignment/>
      <protection/>
    </xf>
    <xf numFmtId="164" fontId="21" fillId="0" borderId="40" xfId="0" applyFont="1" applyBorder="1" applyAlignment="1" applyProtection="1">
      <alignment/>
      <protection/>
    </xf>
    <xf numFmtId="14" fontId="21" fillId="0" borderId="39" xfId="0" applyNumberFormat="1" applyFont="1" applyBorder="1" applyAlignment="1" applyProtection="1">
      <alignment/>
      <protection/>
    </xf>
    <xf numFmtId="164" fontId="15" fillId="26" borderId="41" xfId="0" applyFont="1" applyFill="1" applyBorder="1" applyAlignment="1">
      <alignment horizontal="center" wrapText="1"/>
    </xf>
    <xf numFmtId="164" fontId="15" fillId="26" borderId="42" xfId="0" applyFont="1" applyFill="1" applyBorder="1" applyAlignment="1">
      <alignment horizontal="center" wrapText="1"/>
    </xf>
    <xf numFmtId="164" fontId="15" fillId="26" borderId="43" xfId="0" applyFont="1" applyFill="1" applyBorder="1" applyAlignment="1">
      <alignment horizontal="center" wrapText="1"/>
    </xf>
    <xf numFmtId="0" fontId="24" fillId="0" borderId="8" xfId="94" applyNumberFormat="1" applyFont="1" applyFill="1" applyBorder="1" applyAlignment="1" applyProtection="1">
      <alignment/>
      <protection/>
    </xf>
    <xf numFmtId="0" fontId="24" fillId="14" borderId="12" xfId="94" applyNumberFormat="1" applyFont="1" applyFill="1" applyBorder="1" applyAlignment="1" applyProtection="1">
      <alignment/>
      <protection/>
    </xf>
    <xf numFmtId="14" fontId="26" fillId="0" borderId="0" xfId="118" applyNumberFormat="1" applyFont="1" applyFill="1" applyAlignment="1">
      <alignment vertical="top" wrapText="1"/>
      <protection/>
    </xf>
    <xf numFmtId="0" fontId="26" fillId="0" borderId="0" xfId="118" applyFont="1" applyFill="1" applyAlignment="1">
      <alignment horizontal="center" vertical="top" wrapText="1"/>
      <protection/>
    </xf>
    <xf numFmtId="0" fontId="22" fillId="91" borderId="0" xfId="117" applyFont="1" applyFill="1" applyBorder="1" applyAlignment="1">
      <alignment horizontal="center" vertical="center" wrapText="1"/>
      <protection/>
    </xf>
    <xf numFmtId="0" fontId="27" fillId="0" borderId="8" xfId="104" applyFont="1" applyBorder="1">
      <alignment/>
      <protection/>
    </xf>
    <xf numFmtId="0" fontId="14" fillId="0" borderId="8" xfId="110" applyFont="1" applyBorder="1" applyAlignment="1" applyProtection="1">
      <alignment horizontal="right" vertical="center"/>
      <protection/>
    </xf>
    <xf numFmtId="0" fontId="56" fillId="0" borderId="8" xfId="104" applyFont="1" applyBorder="1" applyAlignment="1">
      <alignment vertical="center"/>
      <protection/>
    </xf>
    <xf numFmtId="0" fontId="7" fillId="0" borderId="8" xfId="112" applyFont="1" applyBorder="1" applyAlignment="1" applyProtection="1">
      <alignment vertical="center"/>
      <protection/>
    </xf>
    <xf numFmtId="0" fontId="14" fillId="0" borderId="8" xfId="112" applyFont="1" applyBorder="1" applyAlignment="1" applyProtection="1">
      <alignment horizontal="right" vertical="center"/>
      <protection/>
    </xf>
    <xf numFmtId="0" fontId="21" fillId="0" borderId="8" xfId="115" applyFont="1" applyFill="1" applyBorder="1" applyAlignment="1" applyProtection="1">
      <alignment vertical="center"/>
      <protection/>
    </xf>
    <xf numFmtId="0" fontId="24" fillId="0" borderId="8" xfId="104" applyFont="1" applyBorder="1" applyAlignment="1">
      <alignment horizontal="right"/>
      <protection/>
    </xf>
    <xf numFmtId="0" fontId="56" fillId="0" borderId="0" xfId="104" applyFont="1" applyAlignment="1">
      <alignment vertical="center"/>
      <protection/>
    </xf>
    <xf numFmtId="0" fontId="56" fillId="0" borderId="0" xfId="104" applyFont="1" applyBorder="1" applyAlignment="1">
      <alignment vertical="center"/>
      <protection/>
    </xf>
    <xf numFmtId="0" fontId="7" fillId="0" borderId="0" xfId="115" applyFont="1" applyAlignment="1">
      <alignment vertical="center"/>
      <protection/>
    </xf>
    <xf numFmtId="0" fontId="26" fillId="0" borderId="8" xfId="112" applyFont="1" applyBorder="1" applyAlignment="1" applyProtection="1">
      <alignment vertical="center"/>
      <protection/>
    </xf>
    <xf numFmtId="0" fontId="7" fillId="0" borderId="8" xfId="115" applyFont="1" applyBorder="1" applyAlignment="1" applyProtection="1">
      <alignment vertical="center"/>
      <protection/>
    </xf>
    <xf numFmtId="0" fontId="15" fillId="0" borderId="0" xfId="112" applyFont="1" applyBorder="1" applyAlignment="1" applyProtection="1">
      <alignment horizontal="left" vertical="center"/>
      <protection/>
    </xf>
    <xf numFmtId="0" fontId="7" fillId="0" borderId="0" xfId="115" applyFont="1" applyBorder="1" applyAlignment="1" applyProtection="1">
      <alignment vertical="center"/>
      <protection/>
    </xf>
    <xf numFmtId="0" fontId="7" fillId="0" borderId="0" xfId="112" applyFont="1" applyBorder="1" applyAlignment="1" applyProtection="1">
      <alignment vertical="center"/>
      <protection/>
    </xf>
    <xf numFmtId="0" fontId="50" fillId="0" borderId="0" xfId="112" applyFont="1" applyBorder="1" applyAlignment="1" applyProtection="1">
      <alignment horizontal="left" vertical="center"/>
      <protection/>
    </xf>
    <xf numFmtId="0" fontId="7" fillId="0" borderId="0" xfId="115" applyFont="1" applyAlignment="1" applyProtection="1">
      <alignment vertical="center"/>
      <protection/>
    </xf>
    <xf numFmtId="0" fontId="7" fillId="0" borderId="0" xfId="112" applyFont="1" applyBorder="1" applyAlignment="1" applyProtection="1">
      <alignment horizontal="left" vertical="center"/>
      <protection/>
    </xf>
    <xf numFmtId="0" fontId="30" fillId="0" borderId="0" xfId="111" applyFont="1" applyBorder="1" applyAlignment="1">
      <alignment horizontal="right" vertical="top"/>
      <protection/>
    </xf>
    <xf numFmtId="0" fontId="14" fillId="0" borderId="0" xfId="112" applyFont="1" applyBorder="1" applyAlignment="1" applyProtection="1">
      <alignment horizontal="right" vertical="center"/>
      <protection/>
    </xf>
    <xf numFmtId="0" fontId="14" fillId="0" borderId="0" xfId="112" applyFont="1" applyBorder="1" applyAlignment="1" applyProtection="1">
      <alignment horizontal="left" vertical="center"/>
      <protection/>
    </xf>
    <xf numFmtId="0" fontId="30" fillId="0" borderId="0" xfId="112" applyFont="1" applyBorder="1" applyAlignment="1" applyProtection="1">
      <alignment horizontal="right" vertical="center"/>
      <protection/>
    </xf>
    <xf numFmtId="0" fontId="26" fillId="0" borderId="8" xfId="113" applyFont="1" applyBorder="1" applyAlignment="1" applyProtection="1">
      <alignment vertical="center"/>
      <protection/>
    </xf>
    <xf numFmtId="0" fontId="7" fillId="0" borderId="8" xfId="113" applyFont="1" applyBorder="1" applyAlignment="1" applyProtection="1">
      <alignment vertical="center"/>
      <protection/>
    </xf>
    <xf numFmtId="0" fontId="7" fillId="0" borderId="8" xfId="116" applyFont="1" applyBorder="1" applyAlignment="1" applyProtection="1">
      <alignment vertical="center"/>
      <protection/>
    </xf>
    <xf numFmtId="0" fontId="15" fillId="92" borderId="11" xfId="113" applyFont="1" applyFill="1" applyBorder="1" applyAlignment="1" applyProtection="1">
      <alignment horizontal="center" vertical="center"/>
      <protection/>
    </xf>
    <xf numFmtId="0" fontId="15" fillId="0" borderId="9" xfId="116" applyFont="1" applyFill="1" applyBorder="1" applyAlignment="1" applyProtection="1">
      <alignment horizontal="left" vertical="top" indent="1"/>
      <protection/>
    </xf>
    <xf numFmtId="0" fontId="15" fillId="23" borderId="9" xfId="116" applyFont="1" applyFill="1" applyBorder="1" applyAlignment="1" applyProtection="1">
      <alignment horizontal="left" vertical="top" indent="1"/>
      <protection/>
    </xf>
    <xf numFmtId="0" fontId="56" fillId="0" borderId="0" xfId="94" applyFont="1" applyAlignment="1">
      <alignment vertical="center"/>
      <protection/>
    </xf>
    <xf numFmtId="0" fontId="56" fillId="0" borderId="0" xfId="94" applyFont="1" applyFill="1" applyAlignment="1">
      <alignment vertical="center"/>
      <protection/>
    </xf>
    <xf numFmtId="0" fontId="26" fillId="0" borderId="8" xfId="116" applyFont="1" applyBorder="1">
      <alignment/>
      <protection/>
    </xf>
    <xf numFmtId="0" fontId="14" fillId="0" borderId="8" xfId="113" applyFont="1" applyBorder="1">
      <alignment/>
      <protection/>
    </xf>
    <xf numFmtId="0" fontId="14" fillId="0" borderId="8" xfId="116" applyFont="1" applyBorder="1">
      <alignment/>
      <protection/>
    </xf>
    <xf numFmtId="0" fontId="15" fillId="93" borderId="19" xfId="104" applyFont="1" applyFill="1" applyBorder="1" applyAlignment="1">
      <alignment/>
      <protection/>
    </xf>
    <xf numFmtId="0" fontId="15" fillId="93" borderId="34" xfId="104" applyFont="1" applyFill="1" applyBorder="1" applyAlignment="1">
      <alignment/>
      <protection/>
    </xf>
    <xf numFmtId="0" fontId="14" fillId="93" borderId="20" xfId="104" applyFont="1" applyFill="1" applyBorder="1" applyAlignment="1">
      <alignment horizontal="right"/>
      <protection/>
    </xf>
    <xf numFmtId="0" fontId="15" fillId="93" borderId="19" xfId="104" applyFont="1" applyFill="1" applyBorder="1" applyAlignment="1">
      <alignment horizontal="left"/>
      <protection/>
    </xf>
    <xf numFmtId="0" fontId="2" fillId="0" borderId="0" xfId="104">
      <alignment/>
      <protection/>
    </xf>
    <xf numFmtId="0" fontId="26" fillId="0" borderId="8" xfId="114" applyFont="1" applyBorder="1">
      <alignment/>
      <protection/>
    </xf>
    <xf numFmtId="0" fontId="7" fillId="0" borderId="0" xfId="116" applyFont="1" applyAlignment="1">
      <alignment vertical="center"/>
      <protection/>
    </xf>
    <xf numFmtId="0" fontId="15" fillId="94" borderId="37" xfId="114" applyFont="1" applyFill="1" applyBorder="1" applyAlignment="1">
      <alignment horizontal="center" vertical="center" wrapText="1"/>
      <protection/>
    </xf>
    <xf numFmtId="0" fontId="15" fillId="95" borderId="37" xfId="111" applyFont="1" applyFill="1" applyBorder="1" applyAlignment="1">
      <alignment horizontal="center" wrapText="1"/>
      <protection/>
    </xf>
    <xf numFmtId="0" fontId="15" fillId="96" borderId="37" xfId="111" applyFont="1" applyFill="1" applyBorder="1" applyAlignment="1">
      <alignment horizontal="center" wrapText="1"/>
      <protection/>
    </xf>
    <xf numFmtId="0" fontId="15" fillId="97" borderId="37" xfId="111" applyFont="1" applyFill="1" applyBorder="1" applyAlignment="1">
      <alignment horizontal="center" wrapText="1"/>
      <protection/>
    </xf>
    <xf numFmtId="0" fontId="15" fillId="98" borderId="37" xfId="111" applyFont="1" applyFill="1" applyBorder="1" applyAlignment="1">
      <alignment horizontal="center" wrapText="1"/>
      <protection/>
    </xf>
    <xf numFmtId="0" fontId="15" fillId="99" borderId="36" xfId="111" applyFont="1" applyFill="1" applyBorder="1" applyAlignment="1">
      <alignment horizontal="center" wrapText="1"/>
      <protection/>
    </xf>
    <xf numFmtId="0" fontId="15" fillId="100" borderId="37" xfId="111" applyFont="1" applyFill="1" applyBorder="1" applyAlignment="1">
      <alignment horizontal="center" wrapText="1"/>
      <protection/>
    </xf>
    <xf numFmtId="0" fontId="15" fillId="101" borderId="37" xfId="111" applyFont="1" applyFill="1" applyBorder="1" applyAlignment="1">
      <alignment horizontal="center" wrapText="1"/>
      <protection/>
    </xf>
    <xf numFmtId="0" fontId="15" fillId="102" borderId="11" xfId="114" applyFont="1" applyFill="1" applyBorder="1" applyAlignment="1">
      <alignment horizontal="center" vertical="center"/>
      <protection/>
    </xf>
    <xf numFmtId="0" fontId="15" fillId="103" borderId="11" xfId="111" applyFont="1" applyFill="1" applyBorder="1" applyAlignment="1" applyProtection="1">
      <alignment horizontal="center" vertical="center"/>
      <protection/>
    </xf>
    <xf numFmtId="0" fontId="15" fillId="104" borderId="11" xfId="111" applyNumberFormat="1" applyFont="1" applyFill="1" applyBorder="1" applyAlignment="1">
      <alignment horizontal="center" vertical="center"/>
      <protection/>
    </xf>
    <xf numFmtId="0" fontId="15" fillId="105" borderId="11" xfId="111" applyFont="1" applyFill="1" applyBorder="1" applyAlignment="1">
      <alignment horizontal="center" vertical="center"/>
      <protection/>
    </xf>
    <xf numFmtId="0" fontId="15" fillId="106" borderId="11" xfId="111" applyFont="1" applyFill="1" applyBorder="1" applyAlignment="1">
      <alignment horizontal="center" vertical="center"/>
      <protection/>
    </xf>
    <xf numFmtId="0" fontId="15" fillId="107" borderId="38" xfId="111" applyNumberFormat="1" applyFont="1" applyFill="1" applyBorder="1" applyAlignment="1">
      <alignment vertical="center"/>
      <protection/>
    </xf>
    <xf numFmtId="10" fontId="15" fillId="108" borderId="11" xfId="127" applyNumberFormat="1" applyFont="1" applyFill="1" applyBorder="1" applyAlignment="1">
      <alignment horizontal="center" vertical="center"/>
    </xf>
    <xf numFmtId="0" fontId="15" fillId="109" borderId="11" xfId="111" applyFont="1" applyFill="1" applyBorder="1" applyAlignment="1">
      <alignment horizontal="center" vertical="center"/>
      <protection/>
    </xf>
    <xf numFmtId="0" fontId="15" fillId="110" borderId="9" xfId="111" applyNumberFormat="1" applyFont="1" applyFill="1" applyBorder="1" applyAlignment="1">
      <alignment horizontal="center" vertical="center"/>
      <protection/>
    </xf>
    <xf numFmtId="0" fontId="15" fillId="111" borderId="9" xfId="111" applyFont="1" applyFill="1" applyBorder="1" applyAlignment="1">
      <alignment horizontal="center" vertical="center"/>
      <protection/>
    </xf>
    <xf numFmtId="0" fontId="15" fillId="112" borderId="9" xfId="111" applyFont="1" applyFill="1" applyBorder="1" applyAlignment="1">
      <alignment horizontal="center" vertical="center"/>
      <protection/>
    </xf>
    <xf numFmtId="0" fontId="15" fillId="113" borderId="9" xfId="111" applyFont="1" applyFill="1" applyBorder="1" applyAlignment="1" applyProtection="1">
      <alignment horizontal="center" vertical="center"/>
      <protection/>
    </xf>
    <xf numFmtId="0" fontId="15" fillId="114" borderId="20" xfId="111" applyFont="1" applyFill="1" applyBorder="1" applyAlignment="1">
      <alignment vertical="center"/>
      <protection/>
    </xf>
    <xf numFmtId="0" fontId="15" fillId="115" borderId="19" xfId="104" applyFont="1" applyFill="1" applyBorder="1" applyAlignment="1">
      <alignment vertical="center"/>
      <protection/>
    </xf>
    <xf numFmtId="0" fontId="15" fillId="116" borderId="19" xfId="111" applyFont="1" applyFill="1" applyBorder="1" applyAlignment="1">
      <alignment horizontal="right" vertical="center"/>
      <protection/>
    </xf>
    <xf numFmtId="0" fontId="15" fillId="117" borderId="19" xfId="111" applyNumberFormat="1" applyFont="1" applyFill="1" applyBorder="1" applyAlignment="1">
      <alignment vertical="center"/>
      <protection/>
    </xf>
    <xf numFmtId="0" fontId="15" fillId="118" borderId="34" xfId="111" applyFont="1" applyFill="1" applyBorder="1" applyAlignment="1">
      <alignment horizontal="left" vertical="center"/>
      <protection/>
    </xf>
    <xf numFmtId="196" fontId="7" fillId="0" borderId="0" xfId="116" applyNumberFormat="1" applyFont="1" applyAlignment="1">
      <alignment vertical="center"/>
      <protection/>
    </xf>
    <xf numFmtId="0" fontId="15" fillId="119" borderId="20" xfId="111" applyFont="1" applyFill="1" applyBorder="1" applyAlignment="1">
      <alignment horizontal="right" vertical="center"/>
      <protection/>
    </xf>
    <xf numFmtId="0" fontId="15" fillId="120" borderId="20" xfId="111" applyFont="1" applyFill="1" applyBorder="1" applyAlignment="1">
      <alignment vertical="center"/>
      <protection/>
    </xf>
    <xf numFmtId="0" fontId="15" fillId="121" borderId="19" xfId="104" applyFont="1" applyFill="1" applyBorder="1" applyAlignment="1">
      <alignment vertical="center"/>
      <protection/>
    </xf>
    <xf numFmtId="0" fontId="15" fillId="122" borderId="19" xfId="111" applyFont="1" applyFill="1" applyBorder="1" applyAlignment="1">
      <alignment horizontal="right" vertical="center"/>
      <protection/>
    </xf>
    <xf numFmtId="0" fontId="15" fillId="123" borderId="19" xfId="111" applyNumberFormat="1" applyFont="1" applyFill="1" applyBorder="1" applyAlignment="1">
      <alignment vertical="center"/>
      <protection/>
    </xf>
    <xf numFmtId="0" fontId="15" fillId="124" borderId="34" xfId="111" applyFont="1" applyFill="1" applyBorder="1" applyAlignment="1">
      <alignment horizontal="left" vertical="center"/>
      <protection/>
    </xf>
    <xf numFmtId="0" fontId="7" fillId="0" borderId="0" xfId="112" applyFont="1" applyAlignment="1">
      <alignment vertical="center"/>
      <protection/>
    </xf>
    <xf numFmtId="0" fontId="32" fillId="0" borderId="0" xfId="104" applyFont="1" applyAlignment="1">
      <alignment vertical="center"/>
      <protection/>
    </xf>
    <xf numFmtId="14" fontId="26" fillId="0" borderId="0" xfId="118" applyNumberFormat="1" applyFont="1" applyFill="1" applyAlignment="1">
      <alignment vertical="top" wrapText="1"/>
      <protection/>
    </xf>
    <xf numFmtId="14" fontId="26" fillId="0" borderId="0" xfId="118" applyNumberFormat="1" applyFont="1" applyFill="1" applyBorder="1" applyAlignment="1">
      <alignment horizontal="center" vertical="top" wrapText="1"/>
      <protection/>
    </xf>
    <xf numFmtId="0" fontId="26" fillId="0" borderId="0" xfId="118" applyFont="1" applyFill="1" applyBorder="1" applyAlignment="1">
      <alignment vertical="top" wrapText="1"/>
      <protection/>
    </xf>
    <xf numFmtId="0" fontId="26" fillId="0" borderId="0" xfId="118" applyFont="1" applyFill="1" applyBorder="1" applyAlignment="1">
      <alignment horizontal="center" vertical="top" wrapText="1"/>
      <protection/>
    </xf>
    <xf numFmtId="184" fontId="28" fillId="0" borderId="9" xfId="0" applyNumberFormat="1" applyFont="1" applyFill="1" applyBorder="1" applyAlignment="1" applyProtection="1">
      <alignment horizontal="center" vertical="center"/>
      <protection locked="0"/>
    </xf>
    <xf numFmtId="0" fontId="28" fillId="0" borderId="9" xfId="0" applyNumberFormat="1" applyFont="1" applyFill="1" applyBorder="1" applyAlignment="1" applyProtection="1">
      <alignment horizontal="center" vertical="center"/>
      <protection locked="0"/>
    </xf>
    <xf numFmtId="0" fontId="21" fillId="0" borderId="11" xfId="109" applyNumberFormat="1" applyFont="1" applyFill="1" applyBorder="1" applyAlignment="1" applyProtection="1">
      <alignment horizontal="center" vertical="center"/>
      <protection locked="0"/>
    </xf>
    <xf numFmtId="0" fontId="21" fillId="0" borderId="9" xfId="109" applyNumberFormat="1" applyFont="1" applyFill="1" applyBorder="1" applyAlignment="1" applyProtection="1">
      <alignment horizontal="center" vertical="center"/>
      <protection locked="0"/>
    </xf>
    <xf numFmtId="0" fontId="15" fillId="93" borderId="19" xfId="104" applyFont="1" applyFill="1" applyBorder="1" applyAlignment="1">
      <alignment horizontal="left"/>
      <protection/>
    </xf>
    <xf numFmtId="0" fontId="21" fillId="45" borderId="20" xfId="109" applyFont="1" applyFill="1" applyBorder="1" applyAlignment="1" applyProtection="1">
      <alignment horizontal="left" vertical="center" indent="1"/>
      <protection locked="0"/>
    </xf>
    <xf numFmtId="0" fontId="15" fillId="93" borderId="19" xfId="104" applyFont="1" applyFill="1" applyBorder="1" applyAlignment="1">
      <alignment horizontal="left"/>
      <protection/>
    </xf>
    <xf numFmtId="14" fontId="26" fillId="0" borderId="0" xfId="118" applyNumberFormat="1" applyFont="1" applyFill="1" applyBorder="1" applyAlignment="1">
      <alignment horizontal="center" vertical="top" wrapText="1"/>
      <protection/>
    </xf>
    <xf numFmtId="0" fontId="26" fillId="0" borderId="0" xfId="118" applyFont="1" applyFill="1" applyBorder="1" applyAlignment="1">
      <alignment horizontal="center" vertical="top" wrapText="1"/>
      <protection/>
    </xf>
    <xf numFmtId="0" fontId="15" fillId="93" borderId="44" xfId="104" applyFont="1" applyFill="1" applyBorder="1" applyAlignment="1">
      <alignment horizontal="left"/>
      <protection/>
    </xf>
    <xf numFmtId="0" fontId="15" fillId="93" borderId="44" xfId="104" applyFont="1" applyFill="1" applyBorder="1" applyAlignment="1">
      <alignment/>
      <protection/>
    </xf>
    <xf numFmtId="0" fontId="15" fillId="93" borderId="45" xfId="104" applyFont="1" applyFill="1" applyBorder="1" applyAlignment="1">
      <alignment/>
      <protection/>
    </xf>
    <xf numFmtId="14" fontId="28" fillId="0" borderId="9" xfId="0" applyNumberFormat="1" applyFont="1" applyFill="1" applyBorder="1" applyAlignment="1" applyProtection="1">
      <alignment horizontal="center" vertical="center"/>
      <protection locked="0"/>
    </xf>
    <xf numFmtId="0" fontId="15" fillId="93" borderId="19" xfId="104" applyFont="1" applyFill="1" applyBorder="1" applyAlignment="1">
      <alignment horizontal="left"/>
      <protection/>
    </xf>
    <xf numFmtId="0" fontId="15" fillId="125" borderId="11" xfId="114" applyFont="1" applyFill="1" applyBorder="1" applyAlignment="1">
      <alignment horizontal="center" vertical="center"/>
      <protection/>
    </xf>
    <xf numFmtId="14" fontId="26" fillId="0" borderId="0" xfId="118" applyNumberFormat="1" applyFont="1" applyFill="1" applyBorder="1" applyAlignment="1">
      <alignment horizontal="center" vertical="top" wrapText="1"/>
      <protection/>
    </xf>
    <xf numFmtId="0" fontId="15" fillId="126" borderId="19" xfId="104" applyFont="1" applyFill="1" applyBorder="1" applyAlignment="1">
      <alignment horizontal="left"/>
      <protection/>
    </xf>
    <xf numFmtId="0" fontId="15" fillId="126" borderId="19" xfId="104" applyFont="1" applyFill="1" applyBorder="1" applyAlignment="1">
      <alignment/>
      <protection/>
    </xf>
    <xf numFmtId="0" fontId="15" fillId="126" borderId="34" xfId="104" applyFont="1" applyFill="1" applyBorder="1" applyAlignment="1">
      <alignment/>
      <protection/>
    </xf>
    <xf numFmtId="0" fontId="56" fillId="126" borderId="0" xfId="104" applyFont="1" applyFill="1" applyAlignment="1">
      <alignment vertical="center"/>
      <protection/>
    </xf>
    <xf numFmtId="0" fontId="15" fillId="126" borderId="20" xfId="104" applyFont="1" applyFill="1" applyBorder="1" applyAlignment="1">
      <alignment/>
      <protection/>
    </xf>
    <xf numFmtId="14" fontId="26" fillId="0" borderId="0" xfId="118" applyNumberFormat="1" applyFont="1" applyFill="1" applyAlignment="1">
      <alignment horizontal="center" vertical="top" wrapText="1"/>
      <protection/>
    </xf>
    <xf numFmtId="14" fontId="26" fillId="0" borderId="0" xfId="118" applyNumberFormat="1" applyFont="1" applyFill="1" applyBorder="1" applyAlignment="1">
      <alignment horizontal="center" vertical="top" wrapText="1"/>
      <protection/>
    </xf>
    <xf numFmtId="0" fontId="26" fillId="0" borderId="0" xfId="118" applyFont="1" applyFill="1" applyBorder="1" applyAlignment="1">
      <alignment vertical="top" wrapText="1"/>
      <protection/>
    </xf>
    <xf numFmtId="0" fontId="26" fillId="0" borderId="0" xfId="118" applyFont="1" applyFill="1" applyBorder="1" applyAlignment="1">
      <alignment horizontal="center" vertical="top" wrapText="1"/>
      <protection/>
    </xf>
    <xf numFmtId="14" fontId="86" fillId="127" borderId="46" xfId="0" applyNumberFormat="1" applyFont="1" applyFill="1" applyBorder="1" applyAlignment="1">
      <alignment horizontal="center" vertical="top"/>
    </xf>
    <xf numFmtId="164" fontId="86" fillId="127" borderId="47" xfId="0" applyFont="1" applyFill="1" applyBorder="1" applyAlignment="1">
      <alignment vertical="top" wrapText="1"/>
    </xf>
    <xf numFmtId="164" fontId="86" fillId="127" borderId="48" xfId="0" applyFont="1" applyFill="1" applyBorder="1" applyAlignment="1">
      <alignment horizontal="center" vertical="top"/>
    </xf>
    <xf numFmtId="14" fontId="26" fillId="0" borderId="0" xfId="118" applyNumberFormat="1" applyFont="1" applyFill="1" applyAlignment="1">
      <alignment horizontal="center" vertical="top" wrapText="1"/>
      <protection/>
    </xf>
    <xf numFmtId="0" fontId="56" fillId="0" borderId="0" xfId="104" applyFont="1" applyFill="1" applyAlignment="1">
      <alignment vertical="center"/>
      <protection/>
    </xf>
    <xf numFmtId="0" fontId="15" fillId="128" borderId="20" xfId="111" applyFont="1" applyFill="1" applyBorder="1" applyAlignment="1">
      <alignment vertical="center"/>
      <protection/>
    </xf>
    <xf numFmtId="0" fontId="15" fillId="129" borderId="19" xfId="104" applyFont="1" applyFill="1" applyBorder="1" applyAlignment="1">
      <alignment vertical="center"/>
      <protection/>
    </xf>
    <xf numFmtId="0" fontId="15" fillId="130" borderId="19" xfId="111" applyFont="1" applyFill="1" applyBorder="1" applyAlignment="1">
      <alignment horizontal="right" vertical="center"/>
      <protection/>
    </xf>
    <xf numFmtId="0" fontId="15" fillId="131" borderId="19" xfId="111" applyNumberFormat="1" applyFont="1" applyFill="1" applyBorder="1" applyAlignment="1">
      <alignment vertical="center"/>
      <protection/>
    </xf>
    <xf numFmtId="0" fontId="15" fillId="132" borderId="34" xfId="111" applyFont="1" applyFill="1" applyBorder="1" applyAlignment="1">
      <alignment horizontal="left" vertical="center"/>
      <protection/>
    </xf>
    <xf numFmtId="0" fontId="73" fillId="31" borderId="32" xfId="47" applyBorder="1" applyAlignment="1">
      <alignment horizontal="center" vertical="center" textRotation="90" wrapText="1"/>
    </xf>
    <xf numFmtId="0" fontId="73" fillId="31" borderId="30" xfId="47" applyBorder="1" applyAlignment="1">
      <alignment horizontal="center" vertical="center" textRotation="90" wrapText="1"/>
    </xf>
    <xf numFmtId="0" fontId="73" fillId="35" borderId="27" xfId="51" applyBorder="1" applyAlignment="1">
      <alignment horizontal="center" vertical="center" textRotation="90" wrapText="1"/>
    </xf>
    <xf numFmtId="0" fontId="2" fillId="0" borderId="0" xfId="94" applyAlignment="1">
      <alignment horizontal="left"/>
      <protection/>
    </xf>
    <xf numFmtId="0" fontId="73" fillId="31" borderId="27" xfId="47" applyBorder="1" applyAlignment="1">
      <alignment horizontal="center" vertical="center" textRotation="90" wrapText="1"/>
    </xf>
    <xf numFmtId="0" fontId="73" fillId="33" borderId="27" xfId="49" applyBorder="1" applyAlignment="1">
      <alignment horizontal="center" vertical="center" textRotation="90" wrapText="1"/>
    </xf>
    <xf numFmtId="0" fontId="73" fillId="36" borderId="27" xfId="52" applyBorder="1" applyAlignment="1">
      <alignment horizontal="center" vertical="center" textRotation="90" wrapText="1"/>
    </xf>
    <xf numFmtId="0" fontId="73" fillId="29" borderId="27" xfId="45" applyBorder="1" applyAlignment="1">
      <alignment horizontal="center" vertical="center" textRotation="90" wrapText="1"/>
    </xf>
    <xf numFmtId="0" fontId="73" fillId="27" borderId="27" xfId="43" applyBorder="1" applyAlignment="1">
      <alignment horizontal="center" vertical="center" textRotation="90" wrapText="1"/>
    </xf>
    <xf numFmtId="164" fontId="27" fillId="0" borderId="8" xfId="0" applyFont="1" applyFill="1" applyBorder="1" applyAlignment="1">
      <alignment/>
    </xf>
    <xf numFmtId="164" fontId="27" fillId="0" borderId="0" xfId="0" applyFont="1" applyFill="1" applyBorder="1" applyAlignment="1">
      <alignment/>
    </xf>
    <xf numFmtId="164" fontId="14" fillId="0" borderId="0" xfId="119" applyFont="1" applyBorder="1" applyAlignment="1">
      <alignment vertical="top" wrapText="1"/>
      <protection/>
    </xf>
    <xf numFmtId="164" fontId="46" fillId="0" borderId="0" xfId="0" applyFont="1" applyBorder="1" applyAlignment="1">
      <alignment vertical="top" wrapText="1"/>
    </xf>
    <xf numFmtId="164" fontId="27" fillId="0" borderId="0" xfId="119" applyFont="1" applyAlignment="1">
      <alignment horizontal="center"/>
      <protection/>
    </xf>
    <xf numFmtId="164" fontId="46" fillId="0" borderId="0" xfId="0" applyFont="1" applyAlignment="1">
      <alignment vertical="top" wrapText="1"/>
    </xf>
    <xf numFmtId="164" fontId="14" fillId="0" borderId="0" xfId="0" applyFont="1" applyBorder="1" applyAlignment="1">
      <alignment horizontal="left" vertical="top" wrapText="1"/>
    </xf>
    <xf numFmtId="0" fontId="14" fillId="0" borderId="0" xfId="120" applyFont="1" applyBorder="1" applyAlignment="1">
      <alignment horizontal="left" vertical="center" wrapText="1" indent="1"/>
      <protection/>
    </xf>
    <xf numFmtId="0" fontId="14" fillId="0" borderId="0" xfId="120" applyFont="1" applyBorder="1" applyAlignment="1">
      <alignment vertical="center" wrapText="1"/>
      <protection/>
    </xf>
    <xf numFmtId="164" fontId="46" fillId="0" borderId="0" xfId="0" applyFont="1" applyBorder="1" applyAlignment="1">
      <alignment horizontal="left" vertical="top" wrapText="1"/>
    </xf>
    <xf numFmtId="49" fontId="16" fillId="0" borderId="0" xfId="119" applyNumberFormat="1" applyFont="1" applyBorder="1" applyAlignment="1">
      <alignment/>
      <protection/>
    </xf>
    <xf numFmtId="164" fontId="16" fillId="0" borderId="16" xfId="119" applyFont="1" applyBorder="1" applyAlignment="1">
      <alignment/>
      <protection/>
    </xf>
    <xf numFmtId="164" fontId="85" fillId="0" borderId="0" xfId="119" applyFont="1" applyAlignment="1">
      <alignment horizontal="center" vertical="center"/>
      <protection/>
    </xf>
    <xf numFmtId="164" fontId="14" fillId="0" borderId="0" xfId="119" applyFont="1" applyBorder="1" applyAlignment="1">
      <alignment/>
      <protection/>
    </xf>
    <xf numFmtId="164" fontId="14" fillId="0" borderId="0" xfId="119" applyFont="1" applyBorder="1" applyAlignment="1">
      <alignment horizontal="left"/>
      <protection/>
    </xf>
    <xf numFmtId="49" fontId="14" fillId="0" borderId="0" xfId="119" applyNumberFormat="1" applyFont="1" applyBorder="1" applyAlignment="1">
      <alignment/>
      <protection/>
    </xf>
    <xf numFmtId="164" fontId="14" fillId="0" borderId="49" xfId="119" applyFont="1" applyBorder="1" applyAlignment="1">
      <alignment horizontal="center"/>
      <protection/>
    </xf>
    <xf numFmtId="164" fontId="44" fillId="0" borderId="0" xfId="0" applyFont="1" applyAlignment="1">
      <alignment horizontal="left" wrapText="1"/>
    </xf>
    <xf numFmtId="164" fontId="15" fillId="0" borderId="0" xfId="119" applyFont="1" applyAlignment="1">
      <alignment horizontal="left" vertical="distributed"/>
      <protection/>
    </xf>
    <xf numFmtId="164" fontId="16" fillId="0" borderId="24" xfId="119" applyFont="1" applyBorder="1" applyAlignment="1">
      <alignment horizontal="left" indent="1"/>
      <protection/>
    </xf>
    <xf numFmtId="164" fontId="15" fillId="133" borderId="19" xfId="0" applyFont="1" applyFill="1" applyBorder="1" applyAlignment="1" applyProtection="1">
      <alignment vertical="center" wrapText="1"/>
      <protection/>
    </xf>
    <xf numFmtId="164" fontId="15" fillId="134" borderId="34" xfId="0" applyFont="1" applyFill="1" applyBorder="1" applyAlignment="1" applyProtection="1">
      <alignment vertical="center" wrapText="1"/>
      <protection/>
    </xf>
    <xf numFmtId="0" fontId="25" fillId="135" borderId="20" xfId="109" applyFont="1" applyFill="1" applyBorder="1" applyAlignment="1" applyProtection="1">
      <alignment horizontal="center" vertical="center"/>
      <protection/>
    </xf>
    <xf numFmtId="0" fontId="25" fillId="136" borderId="19" xfId="109" applyFont="1" applyFill="1" applyBorder="1" applyAlignment="1" applyProtection="1">
      <alignment horizontal="center" vertical="center"/>
      <protection/>
    </xf>
    <xf numFmtId="164" fontId="14" fillId="137" borderId="50" xfId="0" applyFont="1" applyFill="1" applyBorder="1" applyAlignment="1" applyProtection="1">
      <alignment horizontal="right" vertical="center" indent="1"/>
      <protection/>
    </xf>
    <xf numFmtId="164" fontId="14" fillId="138" borderId="18" xfId="0" applyFont="1" applyFill="1" applyBorder="1" applyAlignment="1" applyProtection="1">
      <alignment horizontal="right" vertical="center" indent="1"/>
      <protection/>
    </xf>
    <xf numFmtId="164" fontId="14" fillId="139" borderId="51" xfId="0" applyFont="1" applyFill="1" applyBorder="1" applyAlignment="1" applyProtection="1">
      <alignment horizontal="right" vertical="center" indent="1"/>
      <protection/>
    </xf>
    <xf numFmtId="0" fontId="20" fillId="140" borderId="50" xfId="109" applyFont="1" applyFill="1" applyBorder="1" applyAlignment="1">
      <alignment horizontal="center" vertical="center"/>
      <protection/>
    </xf>
    <xf numFmtId="0" fontId="20" fillId="141" borderId="18" xfId="109" applyFont="1" applyFill="1" applyBorder="1" applyAlignment="1">
      <alignment horizontal="center" vertical="center"/>
      <protection/>
    </xf>
    <xf numFmtId="0" fontId="20" fillId="142" borderId="51" xfId="109" applyFont="1" applyFill="1" applyBorder="1" applyAlignment="1">
      <alignment horizontal="center" vertical="center"/>
      <protection/>
    </xf>
    <xf numFmtId="0" fontId="20" fillId="143" borderId="52" xfId="109" applyFont="1" applyFill="1" applyBorder="1" applyAlignment="1">
      <alignment horizontal="center" vertical="center"/>
      <protection/>
    </xf>
    <xf numFmtId="0" fontId="20" fillId="144" borderId="0" xfId="109" applyFont="1" applyFill="1" applyBorder="1" applyAlignment="1">
      <alignment horizontal="center" vertical="center"/>
      <protection/>
    </xf>
    <xf numFmtId="0" fontId="20" fillId="145" borderId="53" xfId="109" applyFont="1" applyFill="1" applyBorder="1" applyAlignment="1">
      <alignment horizontal="center" vertical="center"/>
      <protection/>
    </xf>
    <xf numFmtId="0" fontId="20" fillId="146" borderId="38" xfId="109" applyFont="1" applyFill="1" applyBorder="1" applyAlignment="1">
      <alignment horizontal="center" vertical="center"/>
      <protection/>
    </xf>
    <xf numFmtId="0" fontId="20" fillId="147" borderId="16" xfId="109" applyFont="1" applyFill="1" applyBorder="1" applyAlignment="1">
      <alignment horizontal="center" vertical="center"/>
      <protection/>
    </xf>
    <xf numFmtId="0" fontId="20" fillId="148" borderId="54" xfId="109" applyFont="1" applyFill="1" applyBorder="1" applyAlignment="1">
      <alignment horizontal="center" vertical="center"/>
      <protection/>
    </xf>
    <xf numFmtId="164" fontId="14" fillId="149" borderId="20" xfId="0" applyFont="1" applyFill="1" applyBorder="1" applyAlignment="1" applyProtection="1">
      <alignment horizontal="right" vertical="center" indent="1"/>
      <protection/>
    </xf>
    <xf numFmtId="164" fontId="14" fillId="150" borderId="19" xfId="0" applyFont="1" applyFill="1" applyBorder="1" applyAlignment="1" applyProtection="1">
      <alignment horizontal="right" vertical="center" indent="1"/>
      <protection/>
    </xf>
    <xf numFmtId="164" fontId="14" fillId="151" borderId="34" xfId="0" applyFont="1" applyFill="1" applyBorder="1" applyAlignment="1" applyProtection="1">
      <alignment horizontal="right" vertical="center" indent="1"/>
      <protection/>
    </xf>
    <xf numFmtId="164" fontId="15" fillId="152" borderId="20" xfId="0" applyFont="1" applyFill="1" applyBorder="1" applyAlignment="1" applyProtection="1">
      <alignment horizontal="center" vertical="center"/>
      <protection/>
    </xf>
    <xf numFmtId="164" fontId="15" fillId="153" borderId="19" xfId="0" applyFont="1" applyFill="1" applyBorder="1" applyAlignment="1" applyProtection="1">
      <alignment horizontal="center" vertical="center"/>
      <protection/>
    </xf>
    <xf numFmtId="164" fontId="15" fillId="154" borderId="34" xfId="0" applyFont="1" applyFill="1" applyBorder="1" applyAlignment="1" applyProtection="1">
      <alignment horizontal="center" vertical="center"/>
      <protection/>
    </xf>
    <xf numFmtId="0" fontId="21" fillId="45" borderId="20" xfId="0" applyNumberFormat="1" applyFont="1" applyFill="1" applyBorder="1" applyAlignment="1" applyProtection="1">
      <alignment horizontal="left" vertical="center" indent="1"/>
      <protection locked="0"/>
    </xf>
    <xf numFmtId="0" fontId="21" fillId="45" borderId="19" xfId="0" applyNumberFormat="1" applyFont="1" applyFill="1" applyBorder="1" applyAlignment="1" applyProtection="1">
      <alignment horizontal="left" vertical="center" indent="1"/>
      <protection locked="0"/>
    </xf>
    <xf numFmtId="0" fontId="21" fillId="45" borderId="34" xfId="0" applyNumberFormat="1" applyFont="1" applyFill="1" applyBorder="1" applyAlignment="1" applyProtection="1">
      <alignment horizontal="left" vertical="center" indent="1"/>
      <protection locked="0"/>
    </xf>
    <xf numFmtId="164" fontId="14" fillId="155" borderId="9" xfId="0" applyFont="1" applyFill="1" applyBorder="1" applyAlignment="1" applyProtection="1">
      <alignment horizontal="right" vertical="center" indent="1"/>
      <protection/>
    </xf>
    <xf numFmtId="0" fontId="20" fillId="156" borderId="50" xfId="109" applyFont="1" applyFill="1" applyBorder="1" applyAlignment="1">
      <alignment horizontal="center" vertical="center" wrapText="1"/>
      <protection/>
    </xf>
    <xf numFmtId="0" fontId="20" fillId="157" borderId="18" xfId="109" applyFont="1" applyFill="1" applyBorder="1" applyAlignment="1">
      <alignment horizontal="center" vertical="center" wrapText="1"/>
      <protection/>
    </xf>
    <xf numFmtId="0" fontId="20" fillId="158" borderId="52" xfId="109" applyFont="1" applyFill="1" applyBorder="1" applyAlignment="1">
      <alignment horizontal="center" vertical="center" wrapText="1"/>
      <protection/>
    </xf>
    <xf numFmtId="0" fontId="20" fillId="159" borderId="0" xfId="109" applyFont="1" applyFill="1" applyBorder="1" applyAlignment="1">
      <alignment horizontal="center" vertical="center" wrapText="1"/>
      <protection/>
    </xf>
    <xf numFmtId="0" fontId="25" fillId="160" borderId="34" xfId="109" applyFont="1" applyFill="1" applyBorder="1" applyAlignment="1" applyProtection="1">
      <alignment horizontal="center" vertical="center"/>
      <protection/>
    </xf>
    <xf numFmtId="166" fontId="21" fillId="45" borderId="20" xfId="0" applyNumberFormat="1" applyFont="1" applyFill="1" applyBorder="1" applyAlignment="1" applyProtection="1">
      <alignment horizontal="left" vertical="center" indent="1"/>
      <protection locked="0"/>
    </xf>
    <xf numFmtId="166" fontId="21" fillId="45" borderId="19" xfId="0" applyNumberFormat="1" applyFont="1" applyFill="1" applyBorder="1" applyAlignment="1" applyProtection="1">
      <alignment horizontal="left" vertical="center" indent="1"/>
      <protection locked="0"/>
    </xf>
    <xf numFmtId="166" fontId="21" fillId="45" borderId="34" xfId="0" applyNumberFormat="1" applyFont="1" applyFill="1" applyBorder="1" applyAlignment="1" applyProtection="1">
      <alignment horizontal="left" vertical="center" indent="1"/>
      <protection locked="0"/>
    </xf>
    <xf numFmtId="164" fontId="14" fillId="0" borderId="20" xfId="0" applyFont="1" applyFill="1" applyBorder="1" applyAlignment="1" applyProtection="1" quotePrefix="1">
      <alignment horizontal="center" vertical="center"/>
      <protection/>
    </xf>
    <xf numFmtId="164" fontId="14" fillId="0" borderId="19" xfId="0" applyFont="1" applyFill="1" applyBorder="1" applyAlignment="1" applyProtection="1" quotePrefix="1">
      <alignment horizontal="center" vertical="center"/>
      <protection/>
    </xf>
    <xf numFmtId="164" fontId="14" fillId="0" borderId="34" xfId="0" applyFont="1" applyFill="1" applyBorder="1" applyAlignment="1" applyProtection="1" quotePrefix="1">
      <alignment horizontal="center" vertical="center"/>
      <protection/>
    </xf>
    <xf numFmtId="0" fontId="14" fillId="161" borderId="20" xfId="109" applyFont="1" applyFill="1" applyBorder="1" applyAlignment="1">
      <alignment horizontal="right" vertical="center" indent="1"/>
      <protection/>
    </xf>
    <xf numFmtId="0" fontId="14" fillId="162" borderId="19" xfId="109" applyFont="1" applyFill="1" applyBorder="1" applyAlignment="1">
      <alignment horizontal="right" vertical="center" indent="1"/>
      <protection/>
    </xf>
    <xf numFmtId="0" fontId="14" fillId="163" borderId="34" xfId="109" applyFont="1" applyFill="1" applyBorder="1" applyAlignment="1">
      <alignment horizontal="right" vertical="center" indent="1"/>
      <protection/>
    </xf>
    <xf numFmtId="164" fontId="14" fillId="164" borderId="21" xfId="0" applyFont="1" applyFill="1" applyBorder="1" applyAlignment="1" applyProtection="1">
      <alignment horizontal="center" vertical="center" wrapText="1"/>
      <protection/>
    </xf>
    <xf numFmtId="164" fontId="14" fillId="165" borderId="55" xfId="0" applyFont="1" applyFill="1" applyBorder="1" applyAlignment="1" applyProtection="1">
      <alignment horizontal="center" vertical="center" wrapText="1"/>
      <protection/>
    </xf>
    <xf numFmtId="0" fontId="21" fillId="0" borderId="23" xfId="109" applyFont="1" applyFill="1" applyBorder="1" applyAlignment="1" applyProtection="1">
      <alignment horizontal="center" vertical="center"/>
      <protection locked="0"/>
    </xf>
    <xf numFmtId="0" fontId="21" fillId="0" borderId="56" xfId="109" applyFont="1" applyFill="1" applyBorder="1" applyAlignment="1" applyProtection="1">
      <alignment horizontal="center" vertical="center"/>
      <protection locked="0"/>
    </xf>
    <xf numFmtId="0" fontId="21" fillId="0" borderId="20" xfId="109" applyFont="1" applyFill="1" applyBorder="1" applyAlignment="1" applyProtection="1">
      <alignment horizontal="center" vertical="center"/>
      <protection locked="0"/>
    </xf>
    <xf numFmtId="0" fontId="21" fillId="0" borderId="34" xfId="109" applyFont="1" applyFill="1" applyBorder="1" applyAlignment="1" applyProtection="1">
      <alignment horizontal="center" vertical="center"/>
      <protection locked="0"/>
    </xf>
    <xf numFmtId="0" fontId="21" fillId="0" borderId="11" xfId="109" applyNumberFormat="1" applyFont="1" applyFill="1" applyBorder="1" applyAlignment="1" applyProtection="1">
      <alignment horizontal="center" vertical="center"/>
      <protection locked="0"/>
    </xf>
    <xf numFmtId="164" fontId="21" fillId="0" borderId="11" xfId="0" applyFont="1" applyFill="1" applyBorder="1" applyAlignment="1" applyProtection="1">
      <alignment vertical="center"/>
      <protection locked="0"/>
    </xf>
    <xf numFmtId="0" fontId="21" fillId="166" borderId="52" xfId="109" applyFont="1" applyFill="1" applyBorder="1" applyAlignment="1" applyProtection="1">
      <alignment horizontal="left" vertical="center" indent="1"/>
      <protection/>
    </xf>
    <xf numFmtId="0" fontId="21" fillId="167" borderId="53" xfId="109" applyFont="1" applyFill="1" applyBorder="1" applyAlignment="1" applyProtection="1">
      <alignment horizontal="left" vertical="center" indent="1"/>
      <protection/>
    </xf>
    <xf numFmtId="0" fontId="14" fillId="45" borderId="11" xfId="109" applyFont="1" applyFill="1" applyBorder="1" applyAlignment="1" applyProtection="1">
      <alignment horizontal="right" vertical="center" indent="1"/>
      <protection locked="0"/>
    </xf>
    <xf numFmtId="164" fontId="14" fillId="45" borderId="11" xfId="0" applyFont="1" applyFill="1" applyBorder="1" applyAlignment="1" applyProtection="1">
      <alignment horizontal="right" vertical="center" indent="1"/>
      <protection locked="0"/>
    </xf>
    <xf numFmtId="0" fontId="14" fillId="168" borderId="9" xfId="109" applyFont="1" applyFill="1" applyBorder="1" applyAlignment="1" applyProtection="1">
      <alignment horizontal="right" vertical="center" indent="1"/>
      <protection/>
    </xf>
    <xf numFmtId="164" fontId="14" fillId="169" borderId="9" xfId="0" applyFont="1" applyFill="1" applyBorder="1" applyAlignment="1">
      <alignment horizontal="right" vertical="center" indent="1"/>
    </xf>
    <xf numFmtId="0" fontId="14" fillId="170" borderId="57" xfId="109" applyFont="1" applyFill="1" applyBorder="1" applyAlignment="1" applyProtection="1">
      <alignment horizontal="right" vertical="center" indent="1"/>
      <protection/>
    </xf>
    <xf numFmtId="0" fontId="14" fillId="171" borderId="44" xfId="109" applyFont="1" applyFill="1" applyBorder="1" applyAlignment="1" applyProtection="1">
      <alignment horizontal="right" vertical="center" indent="1"/>
      <protection/>
    </xf>
    <xf numFmtId="0" fontId="14" fillId="172" borderId="45" xfId="109" applyFont="1" applyFill="1" applyBorder="1" applyAlignment="1" applyProtection="1">
      <alignment horizontal="right" vertical="center" indent="1"/>
      <protection/>
    </xf>
    <xf numFmtId="0" fontId="21" fillId="0" borderId="9" xfId="109" applyNumberFormat="1" applyFont="1" applyFill="1" applyBorder="1" applyAlignment="1" applyProtection="1">
      <alignment horizontal="center" vertical="center"/>
      <protection locked="0"/>
    </xf>
    <xf numFmtId="164" fontId="21" fillId="0" borderId="9" xfId="0" applyFont="1" applyFill="1" applyBorder="1" applyAlignment="1" applyProtection="1">
      <alignment vertical="center"/>
      <protection locked="0"/>
    </xf>
    <xf numFmtId="0" fontId="28" fillId="0" borderId="20" xfId="0" applyNumberFormat="1" applyFont="1" applyFill="1" applyBorder="1" applyAlignment="1" applyProtection="1">
      <alignment horizontal="left" vertical="center" indent="1"/>
      <protection locked="0"/>
    </xf>
    <xf numFmtId="0" fontId="28" fillId="0" borderId="19" xfId="0" applyNumberFormat="1" applyFont="1" applyFill="1" applyBorder="1" applyAlignment="1" applyProtection="1">
      <alignment horizontal="left" vertical="center" indent="1"/>
      <protection locked="0"/>
    </xf>
    <xf numFmtId="0" fontId="28" fillId="0" borderId="34" xfId="0" applyNumberFormat="1" applyFont="1" applyFill="1" applyBorder="1" applyAlignment="1" applyProtection="1">
      <alignment horizontal="left" vertical="center" indent="1"/>
      <protection locked="0"/>
    </xf>
    <xf numFmtId="0" fontId="14" fillId="173" borderId="37" xfId="109" applyFont="1" applyFill="1" applyBorder="1" applyAlignment="1" applyProtection="1">
      <alignment horizontal="center" vertical="center" wrapText="1"/>
      <protection/>
    </xf>
    <xf numFmtId="164" fontId="14" fillId="174" borderId="37" xfId="0" applyFont="1" applyFill="1" applyBorder="1" applyAlignment="1">
      <alignment vertical="center" wrapText="1"/>
    </xf>
    <xf numFmtId="0" fontId="14" fillId="175" borderId="20" xfId="109" applyFont="1" applyFill="1" applyBorder="1" applyAlignment="1" applyProtection="1">
      <alignment horizontal="right" vertical="center" indent="1"/>
      <protection/>
    </xf>
    <xf numFmtId="0" fontId="14" fillId="176" borderId="19" xfId="109" applyFont="1" applyFill="1" applyBorder="1" applyAlignment="1" applyProtection="1">
      <alignment horizontal="right" vertical="center" indent="1"/>
      <protection/>
    </xf>
    <xf numFmtId="164" fontId="14" fillId="177" borderId="11" xfId="0" applyFont="1" applyFill="1" applyBorder="1" applyAlignment="1" applyProtection="1">
      <alignment horizontal="right" vertical="center" indent="1"/>
      <protection/>
    </xf>
    <xf numFmtId="0" fontId="21" fillId="178" borderId="58" xfId="109" applyNumberFormat="1" applyFont="1" applyFill="1" applyBorder="1" applyAlignment="1" applyProtection="1">
      <alignment horizontal="center" vertical="center"/>
      <protection/>
    </xf>
    <xf numFmtId="0" fontId="21" fillId="179" borderId="59" xfId="109" applyNumberFormat="1" applyFont="1" applyFill="1" applyBorder="1" applyAlignment="1" applyProtection="1">
      <alignment horizontal="center" vertical="center"/>
      <protection/>
    </xf>
    <xf numFmtId="0" fontId="21" fillId="0" borderId="38" xfId="109" applyNumberFormat="1" applyFont="1" applyFill="1" applyBorder="1" applyAlignment="1" applyProtection="1">
      <alignment horizontal="center" vertical="center"/>
      <protection locked="0"/>
    </xf>
    <xf numFmtId="0" fontId="21" fillId="0" borderId="54" xfId="109" applyNumberFormat="1" applyFont="1" applyFill="1" applyBorder="1" applyAlignment="1" applyProtection="1">
      <alignment horizontal="center" vertical="center"/>
      <protection locked="0"/>
    </xf>
    <xf numFmtId="0" fontId="14" fillId="180" borderId="36" xfId="109" applyFont="1" applyFill="1" applyBorder="1" applyAlignment="1" applyProtection="1">
      <alignment horizontal="center" vertical="center" wrapText="1"/>
      <protection/>
    </xf>
    <xf numFmtId="0" fontId="14" fillId="181" borderId="60" xfId="109" applyFont="1" applyFill="1" applyBorder="1" applyAlignment="1" applyProtection="1">
      <alignment horizontal="center" vertical="center" wrapText="1"/>
      <protection/>
    </xf>
    <xf numFmtId="0" fontId="21" fillId="182" borderId="11" xfId="109" applyNumberFormat="1" applyFont="1" applyFill="1" applyBorder="1" applyAlignment="1" applyProtection="1">
      <alignment horizontal="center" vertical="center"/>
      <protection/>
    </xf>
    <xf numFmtId="164" fontId="21" fillId="183" borderId="11" xfId="0" applyFont="1" applyFill="1" applyBorder="1" applyAlignment="1" applyProtection="1">
      <alignment vertical="center"/>
      <protection/>
    </xf>
    <xf numFmtId="164" fontId="14" fillId="184" borderId="36" xfId="0" applyFont="1" applyFill="1" applyBorder="1" applyAlignment="1" applyProtection="1">
      <alignment horizontal="center" vertical="center" wrapText="1"/>
      <protection/>
    </xf>
    <xf numFmtId="164" fontId="0" fillId="0" borderId="60" xfId="0" applyBorder="1" applyAlignment="1">
      <alignment/>
    </xf>
    <xf numFmtId="186" fontId="21" fillId="0" borderId="11" xfId="109" applyNumberFormat="1" applyFont="1" applyFill="1" applyBorder="1" applyAlignment="1" applyProtection="1">
      <alignment vertical="center"/>
      <protection locked="0"/>
    </xf>
    <xf numFmtId="0" fontId="25" fillId="185" borderId="57" xfId="109" applyFont="1" applyFill="1" applyBorder="1" applyAlignment="1" applyProtection="1">
      <alignment horizontal="center" vertical="center"/>
      <protection/>
    </xf>
    <xf numFmtId="0" fontId="25" fillId="186" borderId="44" xfId="109" applyFont="1" applyFill="1" applyBorder="1" applyAlignment="1" applyProtection="1">
      <alignment horizontal="center" vertical="center"/>
      <protection/>
    </xf>
    <xf numFmtId="0" fontId="25" fillId="187" borderId="57" xfId="109" applyFont="1" applyFill="1" applyBorder="1" applyAlignment="1" applyProtection="1">
      <alignment horizontal="center" vertical="center" wrapText="1"/>
      <protection/>
    </xf>
    <xf numFmtId="0" fontId="25" fillId="188" borderId="44" xfId="109" applyFont="1" applyFill="1" applyBorder="1" applyAlignment="1" applyProtection="1">
      <alignment horizontal="center" vertical="center" wrapText="1"/>
      <protection/>
    </xf>
    <xf numFmtId="0" fontId="25" fillId="189" borderId="45" xfId="109" applyFont="1" applyFill="1" applyBorder="1" applyAlignment="1" applyProtection="1">
      <alignment horizontal="center" vertical="center" wrapText="1"/>
      <protection/>
    </xf>
    <xf numFmtId="164" fontId="14" fillId="190" borderId="20" xfId="0" applyFont="1" applyFill="1" applyBorder="1" applyAlignment="1" applyProtection="1">
      <alignment horizontal="left" vertical="center" indent="1"/>
      <protection/>
    </xf>
    <xf numFmtId="164" fontId="14" fillId="191" borderId="19" xfId="0" applyFont="1" applyFill="1" applyBorder="1" applyAlignment="1" applyProtection="1">
      <alignment horizontal="left" vertical="center" indent="1"/>
      <protection/>
    </xf>
    <xf numFmtId="164" fontId="14" fillId="192" borderId="34" xfId="0" applyFont="1" applyFill="1" applyBorder="1" applyAlignment="1" applyProtection="1">
      <alignment horizontal="left" vertical="center" indent="1"/>
      <protection/>
    </xf>
    <xf numFmtId="0" fontId="14" fillId="193" borderId="61" xfId="109" applyFont="1" applyFill="1" applyBorder="1" applyAlignment="1" applyProtection="1">
      <alignment horizontal="center" vertical="center" wrapText="1"/>
      <protection/>
    </xf>
    <xf numFmtId="0" fontId="14" fillId="194" borderId="52" xfId="109" applyFont="1" applyFill="1" applyBorder="1" applyAlignment="1" applyProtection="1">
      <alignment horizontal="center" vertical="center" wrapText="1"/>
      <protection/>
    </xf>
    <xf numFmtId="0" fontId="14" fillId="195" borderId="38" xfId="109" applyFont="1" applyFill="1" applyBorder="1" applyAlignment="1" applyProtection="1">
      <alignment horizontal="center" vertical="center" wrapText="1"/>
      <protection/>
    </xf>
    <xf numFmtId="0" fontId="21" fillId="0" borderId="20" xfId="109" applyNumberFormat="1" applyFont="1" applyFill="1" applyBorder="1" applyAlignment="1" applyProtection="1">
      <alignment horizontal="center" vertical="center"/>
      <protection locked="0"/>
    </xf>
    <xf numFmtId="0" fontId="21" fillId="0" borderId="34" xfId="109" applyNumberFormat="1" applyFont="1" applyFill="1" applyBorder="1" applyAlignment="1" applyProtection="1">
      <alignment horizontal="center" vertical="center"/>
      <protection locked="0"/>
    </xf>
    <xf numFmtId="164" fontId="0" fillId="0" borderId="34" xfId="0" applyFill="1" applyBorder="1" applyAlignment="1" applyProtection="1">
      <alignment/>
      <protection locked="0"/>
    </xf>
    <xf numFmtId="0" fontId="25" fillId="196" borderId="45" xfId="109" applyFont="1" applyFill="1" applyBorder="1" applyAlignment="1" applyProtection="1">
      <alignment horizontal="center" vertical="center"/>
      <protection/>
    </xf>
    <xf numFmtId="0" fontId="24" fillId="0" borderId="8" xfId="0" applyNumberFormat="1" applyFont="1" applyFill="1" applyBorder="1" applyAlignment="1" applyProtection="1">
      <alignment horizontal="left" vertical="center" indent="1"/>
      <protection locked="0"/>
    </xf>
    <xf numFmtId="0" fontId="21" fillId="45" borderId="20" xfId="109" applyFont="1" applyFill="1" applyBorder="1" applyAlignment="1" applyProtection="1">
      <alignment horizontal="left" vertical="center" indent="1"/>
      <protection locked="0"/>
    </xf>
    <xf numFmtId="0" fontId="21" fillId="45" borderId="19" xfId="109" applyFont="1" applyFill="1" applyBorder="1" applyAlignment="1" applyProtection="1">
      <alignment horizontal="left" vertical="center" indent="1"/>
      <protection locked="0"/>
    </xf>
    <xf numFmtId="0" fontId="21" fillId="45" borderId="34" xfId="109" applyFont="1" applyFill="1" applyBorder="1" applyAlignment="1" applyProtection="1">
      <alignment horizontal="left" vertical="center" indent="1"/>
      <protection locked="0"/>
    </xf>
    <xf numFmtId="0" fontId="21" fillId="0" borderId="19" xfId="109" applyFont="1" applyFill="1" applyBorder="1" applyAlignment="1" applyProtection="1">
      <alignment horizontal="left" vertical="center" indent="1"/>
      <protection locked="0"/>
    </xf>
    <xf numFmtId="0" fontId="21" fillId="0" borderId="34" xfId="109" applyFont="1" applyFill="1" applyBorder="1" applyAlignment="1" applyProtection="1">
      <alignment horizontal="left" vertical="center" indent="1"/>
      <protection locked="0"/>
    </xf>
    <xf numFmtId="0" fontId="21" fillId="0" borderId="19" xfId="109" applyFont="1" applyFill="1" applyBorder="1" applyAlignment="1" applyProtection="1">
      <alignment horizontal="left" vertical="top" indent="1"/>
      <protection locked="0"/>
    </xf>
    <xf numFmtId="0" fontId="21" fillId="0" borderId="34" xfId="109" applyFont="1" applyFill="1" applyBorder="1" applyAlignment="1" applyProtection="1">
      <alignment horizontal="left" vertical="top" indent="1"/>
      <protection locked="0"/>
    </xf>
    <xf numFmtId="14" fontId="21" fillId="45" borderId="57" xfId="109" applyNumberFormat="1" applyFont="1" applyFill="1" applyBorder="1" applyAlignment="1" applyProtection="1">
      <alignment horizontal="left" vertical="center" indent="1"/>
      <protection locked="0"/>
    </xf>
    <xf numFmtId="14" fontId="21" fillId="45" borderId="45" xfId="109" applyNumberFormat="1" applyFont="1" applyFill="1" applyBorder="1" applyAlignment="1" applyProtection="1">
      <alignment horizontal="left" vertical="center" indent="1"/>
      <protection locked="0"/>
    </xf>
    <xf numFmtId="0" fontId="21" fillId="45" borderId="57" xfId="109" applyFont="1" applyFill="1" applyBorder="1" applyAlignment="1" applyProtection="1">
      <alignment horizontal="left" vertical="center" indent="1"/>
      <protection locked="0"/>
    </xf>
    <xf numFmtId="0" fontId="21" fillId="45" borderId="44" xfId="109" applyFont="1" applyFill="1" applyBorder="1" applyAlignment="1" applyProtection="1">
      <alignment horizontal="left" vertical="center" indent="1"/>
      <protection locked="0"/>
    </xf>
    <xf numFmtId="0" fontId="21" fillId="45" borderId="45" xfId="109" applyFont="1" applyFill="1" applyBorder="1" applyAlignment="1" applyProtection="1">
      <alignment horizontal="left" vertical="center" indent="1"/>
      <protection locked="0"/>
    </xf>
    <xf numFmtId="169" fontId="21" fillId="197" borderId="19" xfId="109" applyNumberFormat="1" applyFont="1" applyFill="1" applyBorder="1" applyAlignment="1" applyProtection="1">
      <alignment horizontal="left" vertical="center" indent="1"/>
      <protection/>
    </xf>
    <xf numFmtId="169" fontId="21" fillId="198" borderId="34" xfId="109" applyNumberFormat="1" applyFont="1" applyFill="1" applyBorder="1" applyAlignment="1" applyProtection="1">
      <alignment horizontal="left" vertical="center" indent="1"/>
      <protection/>
    </xf>
    <xf numFmtId="0" fontId="14" fillId="199" borderId="20" xfId="109" applyFont="1" applyFill="1" applyBorder="1" applyAlignment="1" applyProtection="1">
      <alignment horizontal="right" vertical="center" shrinkToFit="1"/>
      <protection/>
    </xf>
    <xf numFmtId="0" fontId="14" fillId="200" borderId="19" xfId="109" applyFont="1" applyFill="1" applyBorder="1" applyAlignment="1" applyProtection="1">
      <alignment horizontal="right" vertical="center" shrinkToFit="1"/>
      <protection/>
    </xf>
    <xf numFmtId="0" fontId="21" fillId="201" borderId="20" xfId="109" applyNumberFormat="1" applyFont="1" applyFill="1" applyBorder="1" applyAlignment="1" applyProtection="1">
      <alignment horizontal="center" vertical="center"/>
      <protection/>
    </xf>
    <xf numFmtId="0" fontId="21" fillId="202" borderId="34" xfId="109" applyNumberFormat="1" applyFont="1" applyFill="1" applyBorder="1" applyAlignment="1" applyProtection="1">
      <alignment horizontal="center" vertical="center"/>
      <protection/>
    </xf>
    <xf numFmtId="0" fontId="14" fillId="45" borderId="20" xfId="109" applyFont="1" applyFill="1" applyBorder="1" applyAlignment="1" applyProtection="1">
      <alignment horizontal="right" vertical="center" indent="1"/>
      <protection locked="0"/>
    </xf>
    <xf numFmtId="0" fontId="14" fillId="45" borderId="19" xfId="109" applyFont="1" applyFill="1" applyBorder="1" applyAlignment="1" applyProtection="1">
      <alignment horizontal="right" vertical="center" indent="1"/>
      <protection locked="0"/>
    </xf>
    <xf numFmtId="0" fontId="34" fillId="203" borderId="57" xfId="0" applyNumberFormat="1" applyFont="1" applyFill="1" applyBorder="1" applyAlignment="1" applyProtection="1">
      <alignment horizontal="left" vertical="center" indent="1"/>
      <protection/>
    </xf>
    <xf numFmtId="0" fontId="34" fillId="204" borderId="45" xfId="0" applyNumberFormat="1" applyFont="1" applyFill="1" applyBorder="1" applyAlignment="1" applyProtection="1">
      <alignment horizontal="left" vertical="center" indent="1"/>
      <protection/>
    </xf>
    <xf numFmtId="0" fontId="14" fillId="205" borderId="62" xfId="109" applyFont="1" applyFill="1" applyBorder="1" applyAlignment="1" applyProtection="1">
      <alignment horizontal="center" vertical="center" wrapText="1"/>
      <protection/>
    </xf>
    <xf numFmtId="0" fontId="14" fillId="206" borderId="34" xfId="109" applyFont="1" applyFill="1" applyBorder="1" applyAlignment="1" applyProtection="1">
      <alignment horizontal="right" vertical="center" indent="1"/>
      <protection/>
    </xf>
    <xf numFmtId="164" fontId="21" fillId="45" borderId="20" xfId="0" applyFont="1" applyFill="1" applyBorder="1" applyAlignment="1" applyProtection="1">
      <alignment horizontal="left" vertical="center" indent="1"/>
      <protection locked="0"/>
    </xf>
    <xf numFmtId="164" fontId="21" fillId="45" borderId="19" xfId="0" applyFont="1" applyFill="1" applyBorder="1" applyAlignment="1" applyProtection="1">
      <alignment horizontal="left" vertical="center" indent="1"/>
      <protection locked="0"/>
    </xf>
    <xf numFmtId="164" fontId="21" fillId="45" borderId="34" xfId="0" applyFont="1" applyFill="1" applyBorder="1" applyAlignment="1" applyProtection="1">
      <alignment horizontal="left" vertical="center" indent="1"/>
      <protection locked="0"/>
    </xf>
    <xf numFmtId="0" fontId="14" fillId="207" borderId="38" xfId="109" applyFont="1" applyFill="1" applyBorder="1" applyAlignment="1" applyProtection="1">
      <alignment horizontal="right" vertical="center" indent="1"/>
      <protection/>
    </xf>
    <xf numFmtId="0" fontId="14" fillId="208" borderId="16" xfId="109" applyFont="1" applyFill="1" applyBorder="1" applyAlignment="1" applyProtection="1">
      <alignment horizontal="right" vertical="center" indent="1"/>
      <protection/>
    </xf>
    <xf numFmtId="0" fontId="14" fillId="209" borderId="54" xfId="109" applyFont="1" applyFill="1" applyBorder="1" applyAlignment="1" applyProtection="1">
      <alignment horizontal="right" vertical="center" indent="1"/>
      <protection/>
    </xf>
    <xf numFmtId="0" fontId="25" fillId="210" borderId="16" xfId="109" applyFont="1" applyFill="1" applyBorder="1" applyAlignment="1" applyProtection="1">
      <alignment horizontal="center" vertical="center"/>
      <protection/>
    </xf>
    <xf numFmtId="0" fontId="25" fillId="211" borderId="54" xfId="109" applyFont="1" applyFill="1" applyBorder="1" applyAlignment="1" applyProtection="1">
      <alignment horizontal="center" vertical="center"/>
      <protection/>
    </xf>
    <xf numFmtId="0" fontId="25" fillId="212" borderId="50" xfId="109" applyFont="1" applyFill="1" applyBorder="1" applyAlignment="1" applyProtection="1">
      <alignment horizontal="center" vertical="center"/>
      <protection/>
    </xf>
    <xf numFmtId="0" fontId="25" fillId="212" borderId="18" xfId="109" applyFont="1" applyFill="1" applyBorder="1" applyAlignment="1" applyProtection="1">
      <alignment horizontal="center" vertical="center"/>
      <protection/>
    </xf>
    <xf numFmtId="0" fontId="25" fillId="212" borderId="51" xfId="109" applyFont="1" applyFill="1" applyBorder="1" applyAlignment="1" applyProtection="1">
      <alignment horizontal="center" vertical="center"/>
      <protection/>
    </xf>
    <xf numFmtId="0" fontId="21" fillId="213" borderId="25" xfId="109" applyNumberFormat="1" applyFont="1" applyFill="1" applyBorder="1" applyAlignment="1" applyProtection="1">
      <alignment horizontal="center" vertical="center"/>
      <protection/>
    </xf>
    <xf numFmtId="164" fontId="21" fillId="214" borderId="25" xfId="0" applyFont="1" applyFill="1" applyBorder="1" applyAlignment="1" applyProtection="1">
      <alignment vertical="center"/>
      <protection/>
    </xf>
    <xf numFmtId="164" fontId="25" fillId="0" borderId="20" xfId="0" applyFont="1" applyBorder="1" applyAlignment="1" applyProtection="1">
      <alignment horizontal="center" vertical="center"/>
      <protection/>
    </xf>
    <xf numFmtId="164" fontId="25" fillId="0" borderId="19" xfId="0" applyFont="1" applyBorder="1" applyAlignment="1" applyProtection="1">
      <alignment horizontal="center" vertical="center"/>
      <protection/>
    </xf>
    <xf numFmtId="164" fontId="25" fillId="0" borderId="34" xfId="0" applyFont="1" applyBorder="1" applyAlignment="1" applyProtection="1">
      <alignment horizontal="center" vertical="center"/>
      <protection/>
    </xf>
    <xf numFmtId="164" fontId="0" fillId="0" borderId="56" xfId="0" applyFill="1" applyBorder="1" applyAlignment="1" applyProtection="1">
      <alignment/>
      <protection locked="0"/>
    </xf>
    <xf numFmtId="164" fontId="14" fillId="215" borderId="36" xfId="0" applyFont="1" applyFill="1" applyBorder="1" applyAlignment="1" applyProtection="1">
      <alignment horizontal="left" vertical="center" wrapText="1" indent="1"/>
      <protection/>
    </xf>
    <xf numFmtId="164" fontId="14" fillId="216" borderId="60" xfId="0" applyFont="1" applyFill="1" applyBorder="1" applyAlignment="1" applyProtection="1">
      <alignment horizontal="left" vertical="center" wrapText="1" indent="1"/>
      <protection/>
    </xf>
    <xf numFmtId="0" fontId="21" fillId="217" borderId="63" xfId="109" applyFont="1" applyFill="1" applyBorder="1" applyAlignment="1" applyProtection="1">
      <alignment horizontal="left" vertical="center" indent="1"/>
      <protection/>
    </xf>
    <xf numFmtId="0" fontId="21" fillId="218" borderId="64" xfId="109" applyFont="1" applyFill="1" applyBorder="1" applyAlignment="1" applyProtection="1">
      <alignment horizontal="left" vertical="center" indent="1"/>
      <protection/>
    </xf>
    <xf numFmtId="166" fontId="21" fillId="45" borderId="9" xfId="0" applyNumberFormat="1" applyFont="1" applyFill="1" applyBorder="1" applyAlignment="1" applyProtection="1">
      <alignment horizontal="left" vertical="center" indent="1"/>
      <protection locked="0"/>
    </xf>
    <xf numFmtId="0" fontId="21" fillId="45" borderId="9" xfId="0" applyNumberFormat="1" applyFont="1" applyFill="1" applyBorder="1" applyAlignment="1" applyProtection="1">
      <alignment horizontal="left" vertical="center" indent="1"/>
      <protection locked="0"/>
    </xf>
    <xf numFmtId="0" fontId="15" fillId="0" borderId="57" xfId="109" applyFont="1" applyFill="1" applyBorder="1" applyAlignment="1" applyProtection="1">
      <alignment horizontal="left" vertical="center" indent="1"/>
      <protection locked="0"/>
    </xf>
    <xf numFmtId="0" fontId="15" fillId="0" borderId="44" xfId="109" applyFont="1" applyFill="1" applyBorder="1" applyAlignment="1" applyProtection="1">
      <alignment horizontal="left" vertical="center" indent="1"/>
      <protection locked="0"/>
    </xf>
    <xf numFmtId="0" fontId="15" fillId="0" borderId="45" xfId="109" applyFont="1" applyFill="1" applyBorder="1" applyAlignment="1" applyProtection="1">
      <alignment horizontal="left" vertical="center" indent="1"/>
      <protection locked="0"/>
    </xf>
    <xf numFmtId="0" fontId="15" fillId="0" borderId="20" xfId="109" applyFont="1" applyFill="1" applyBorder="1" applyAlignment="1" applyProtection="1">
      <alignment horizontal="left" vertical="center" indent="1"/>
      <protection locked="0"/>
    </xf>
    <xf numFmtId="0" fontId="15" fillId="0" borderId="19" xfId="109" applyFont="1" applyFill="1" applyBorder="1" applyAlignment="1" applyProtection="1">
      <alignment horizontal="left" vertical="center" indent="1"/>
      <protection locked="0"/>
    </xf>
    <xf numFmtId="0" fontId="15" fillId="0" borderId="34" xfId="109" applyFont="1" applyFill="1" applyBorder="1" applyAlignment="1" applyProtection="1">
      <alignment horizontal="left" vertical="center" indent="1"/>
      <protection locked="0"/>
    </xf>
    <xf numFmtId="164" fontId="21" fillId="45" borderId="57" xfId="0" applyFont="1" applyFill="1" applyBorder="1" applyAlignment="1" applyProtection="1">
      <alignment horizontal="left" vertical="center" indent="1"/>
      <protection locked="0"/>
    </xf>
    <xf numFmtId="164" fontId="21" fillId="45" borderId="44" xfId="0" applyFont="1" applyFill="1" applyBorder="1" applyAlignment="1" applyProtection="1">
      <alignment horizontal="left" vertical="center" indent="1"/>
      <protection locked="0"/>
    </xf>
    <xf numFmtId="164" fontId="21" fillId="45" borderId="45" xfId="0" applyFont="1" applyFill="1" applyBorder="1" applyAlignment="1" applyProtection="1">
      <alignment horizontal="left" vertical="center" indent="1"/>
      <protection locked="0"/>
    </xf>
    <xf numFmtId="0" fontId="14" fillId="219" borderId="20" xfId="109" applyFont="1" applyFill="1" applyBorder="1" applyAlignment="1">
      <alignment horizontal="center" vertical="center"/>
      <protection/>
    </xf>
    <xf numFmtId="0" fontId="14" fillId="220" borderId="19" xfId="109" applyFont="1" applyFill="1" applyBorder="1" applyAlignment="1">
      <alignment horizontal="center" vertical="center"/>
      <protection/>
    </xf>
    <xf numFmtId="14" fontId="21" fillId="45" borderId="11" xfId="109" applyNumberFormat="1" applyFont="1" applyFill="1" applyBorder="1" applyAlignment="1" applyProtection="1">
      <alignment horizontal="left" vertical="center" indent="1"/>
      <protection locked="0"/>
    </xf>
    <xf numFmtId="164" fontId="21" fillId="45" borderId="11" xfId="0" applyFont="1" applyFill="1" applyBorder="1" applyAlignment="1" applyProtection="1">
      <alignment horizontal="left" vertical="center" indent="1"/>
      <protection locked="0"/>
    </xf>
    <xf numFmtId="0" fontId="14" fillId="221" borderId="11" xfId="109" applyFont="1" applyFill="1" applyBorder="1" applyAlignment="1" applyProtection="1" quotePrefix="1">
      <alignment horizontal="right" vertical="center" indent="1"/>
      <protection/>
    </xf>
    <xf numFmtId="164" fontId="14" fillId="222" borderId="11" xfId="0" applyFont="1" applyFill="1" applyBorder="1" applyAlignment="1">
      <alignment horizontal="right" vertical="center" indent="1"/>
    </xf>
    <xf numFmtId="0" fontId="14" fillId="223" borderId="9" xfId="109" applyFont="1" applyFill="1" applyBorder="1" applyAlignment="1" applyProtection="1">
      <alignment horizontal="right" vertical="center"/>
      <protection/>
    </xf>
    <xf numFmtId="164" fontId="14" fillId="224" borderId="9" xfId="0" applyFont="1" applyFill="1" applyBorder="1" applyAlignment="1">
      <alignment horizontal="right" vertical="center"/>
    </xf>
    <xf numFmtId="0" fontId="34" fillId="225" borderId="44" xfId="0" applyNumberFormat="1" applyFont="1" applyFill="1" applyBorder="1" applyAlignment="1" applyProtection="1">
      <alignment horizontal="left" vertical="center" indent="1"/>
      <protection/>
    </xf>
    <xf numFmtId="0" fontId="14" fillId="226" borderId="0" xfId="109" applyFont="1" applyFill="1" applyBorder="1" applyAlignment="1" applyProtection="1">
      <alignment horizontal="right" vertical="center" indent="1"/>
      <protection/>
    </xf>
    <xf numFmtId="0" fontId="14" fillId="227" borderId="50" xfId="109" applyFont="1" applyFill="1" applyBorder="1" applyAlignment="1" applyProtection="1">
      <alignment horizontal="right" vertical="center" indent="1"/>
      <protection/>
    </xf>
    <xf numFmtId="0" fontId="14" fillId="228" borderId="18" xfId="109" applyFont="1" applyFill="1" applyBorder="1" applyAlignment="1" applyProtection="1">
      <alignment horizontal="right" vertical="center" indent="1"/>
      <protection/>
    </xf>
    <xf numFmtId="0" fontId="14" fillId="229" borderId="52" xfId="109" applyFont="1" applyFill="1" applyBorder="1" applyAlignment="1" applyProtection="1">
      <alignment horizontal="right" vertical="center" indent="1"/>
      <protection/>
    </xf>
    <xf numFmtId="0" fontId="14" fillId="230" borderId="53" xfId="109" applyFont="1" applyFill="1" applyBorder="1" applyAlignment="1" applyProtection="1">
      <alignment horizontal="right" vertical="center" indent="1"/>
      <protection/>
    </xf>
    <xf numFmtId="0" fontId="15" fillId="46" borderId="12" xfId="107" applyFont="1" applyFill="1" applyBorder="1" applyAlignment="1">
      <alignment horizontal="center" vertical="center" wrapText="1"/>
      <protection/>
    </xf>
    <xf numFmtId="189" fontId="21" fillId="0" borderId="0" xfId="107" applyNumberFormat="1" applyFont="1" applyBorder="1" applyAlignment="1">
      <alignment horizontal="right" vertical="center"/>
      <protection/>
    </xf>
    <xf numFmtId="0" fontId="26" fillId="0" borderId="65" xfId="107" applyFont="1" applyBorder="1" applyAlignment="1">
      <alignment horizontal="center" vertical="center"/>
      <protection/>
    </xf>
    <xf numFmtId="0" fontId="26" fillId="0" borderId="12" xfId="107" applyFont="1" applyBorder="1" applyAlignment="1">
      <alignment horizontal="center" vertical="center"/>
      <protection/>
    </xf>
    <xf numFmtId="0" fontId="14" fillId="0" borderId="0" xfId="107" applyFont="1" applyBorder="1" applyAlignment="1">
      <alignment horizontal="left" vertical="center"/>
      <protection/>
    </xf>
    <xf numFmtId="174" fontId="2" fillId="0" borderId="0" xfId="107" applyNumberFormat="1" applyAlignment="1">
      <alignment horizontal="center"/>
      <protection/>
    </xf>
    <xf numFmtId="0" fontId="14" fillId="0" borderId="12" xfId="107" applyFont="1" applyBorder="1" applyAlignment="1">
      <alignment horizontal="left" vertical="center"/>
      <protection/>
    </xf>
    <xf numFmtId="0" fontId="14" fillId="0" borderId="13" xfId="107" applyFont="1" applyBorder="1" applyAlignment="1">
      <alignment horizontal="left" vertical="center"/>
      <protection/>
    </xf>
    <xf numFmtId="0" fontId="14" fillId="0" borderId="14" xfId="107" applyFont="1" applyBorder="1" applyAlignment="1">
      <alignment horizontal="left" vertical="center"/>
      <protection/>
    </xf>
    <xf numFmtId="189" fontId="21" fillId="0" borderId="14" xfId="107" applyNumberFormat="1" applyFont="1" applyBorder="1" applyAlignment="1">
      <alignment horizontal="right" vertical="center"/>
      <protection/>
    </xf>
    <xf numFmtId="0" fontId="14" fillId="0" borderId="0" xfId="107" applyFont="1" applyAlignment="1">
      <alignment horizontal="center" vertical="center" wrapText="1"/>
      <protection/>
    </xf>
    <xf numFmtId="173" fontId="19" fillId="0" borderId="12" xfId="107" applyNumberFormat="1" applyFont="1" applyFill="1" applyBorder="1" applyAlignment="1" applyProtection="1">
      <alignment horizontal="center" vertical="center" wrapText="1"/>
      <protection/>
    </xf>
    <xf numFmtId="0" fontId="14" fillId="0" borderId="0" xfId="107" applyFont="1" applyBorder="1" applyAlignment="1">
      <alignment horizontal="center" vertical="center" wrapText="1"/>
      <protection/>
    </xf>
    <xf numFmtId="0" fontId="26" fillId="0" borderId="66" xfId="107" applyFont="1" applyBorder="1" applyAlignment="1">
      <alignment horizontal="center" vertical="center"/>
      <protection/>
    </xf>
    <xf numFmtId="189" fontId="21" fillId="0" borderId="12" xfId="107" applyNumberFormat="1" applyFont="1" applyBorder="1" applyAlignment="1">
      <alignment horizontal="right" vertical="center"/>
      <protection/>
    </xf>
    <xf numFmtId="189" fontId="21" fillId="0" borderId="13" xfId="107" applyNumberFormat="1" applyFont="1" applyBorder="1" applyAlignment="1">
      <alignment horizontal="right" vertical="center"/>
      <protection/>
    </xf>
    <xf numFmtId="189" fontId="21" fillId="231" borderId="9" xfId="108" applyNumberFormat="1" applyFont="1" applyFill="1" applyBorder="1" applyAlignment="1" applyProtection="1">
      <alignment horizontal="left" vertical="center" indent="1"/>
      <protection/>
    </xf>
    <xf numFmtId="0" fontId="14" fillId="232" borderId="9" xfId="108" applyFont="1" applyFill="1" applyBorder="1" applyAlignment="1" applyProtection="1" quotePrefix="1">
      <alignment horizontal="right" vertical="center" indent="1"/>
      <protection/>
    </xf>
    <xf numFmtId="0" fontId="15" fillId="0" borderId="11" xfId="108" applyFont="1" applyFill="1" applyBorder="1" applyAlignment="1" applyProtection="1" quotePrefix="1">
      <alignment horizontal="center" vertical="center"/>
      <protection/>
    </xf>
    <xf numFmtId="0" fontId="14" fillId="233" borderId="9" xfId="108" applyFont="1" applyFill="1" applyBorder="1" applyAlignment="1" applyProtection="1">
      <alignment horizontal="right" vertical="center" indent="1"/>
      <protection/>
    </xf>
    <xf numFmtId="0" fontId="14" fillId="234" borderId="11" xfId="108" applyFont="1" applyFill="1" applyBorder="1" applyAlignment="1" applyProtection="1">
      <alignment horizontal="right" vertical="center" indent="1"/>
      <protection/>
    </xf>
    <xf numFmtId="0" fontId="26" fillId="0" borderId="42" xfId="0" applyNumberFormat="1" applyFont="1" applyBorder="1" applyAlignment="1" applyProtection="1">
      <alignment horizontal="center" vertical="center"/>
      <protection/>
    </xf>
    <xf numFmtId="189" fontId="21" fillId="235" borderId="11" xfId="108" applyNumberFormat="1" applyFont="1" applyFill="1" applyBorder="1" applyAlignment="1" applyProtection="1">
      <alignment horizontal="left" vertical="center" indent="1"/>
      <protection/>
    </xf>
    <xf numFmtId="0" fontId="35" fillId="126" borderId="9" xfId="114" applyFont="1" applyFill="1" applyBorder="1" applyAlignment="1" applyProtection="1">
      <alignment horizontal="center"/>
      <protection/>
    </xf>
    <xf numFmtId="0" fontId="14" fillId="126" borderId="9" xfId="107" applyFont="1" applyFill="1" applyBorder="1" applyAlignment="1">
      <alignment horizontal="right" vertical="center"/>
      <protection/>
    </xf>
    <xf numFmtId="0" fontId="14" fillId="126" borderId="9" xfId="107" applyFont="1" applyFill="1" applyBorder="1" applyAlignment="1" quotePrefix="1">
      <alignment horizontal="right" vertical="center"/>
      <protection/>
    </xf>
    <xf numFmtId="0" fontId="14" fillId="126" borderId="20" xfId="107" applyFont="1" applyFill="1" applyBorder="1" applyAlignment="1" quotePrefix="1">
      <alignment horizontal="right" vertical="center"/>
      <protection/>
    </xf>
    <xf numFmtId="0" fontId="35" fillId="93" borderId="9" xfId="114" applyFont="1" applyFill="1" applyBorder="1" applyAlignment="1" applyProtection="1">
      <alignment horizontal="center"/>
      <protection/>
    </xf>
    <xf numFmtId="0" fontId="14" fillId="93" borderId="20" xfId="107" applyFont="1" applyFill="1" applyBorder="1" applyAlignment="1" quotePrefix="1">
      <alignment horizontal="right" vertical="center"/>
      <protection/>
    </xf>
    <xf numFmtId="0" fontId="14" fillId="93" borderId="19" xfId="107" applyFont="1" applyFill="1" applyBorder="1" applyAlignment="1" quotePrefix="1">
      <alignment horizontal="right" vertical="center"/>
      <protection/>
    </xf>
    <xf numFmtId="14" fontId="21" fillId="0" borderId="8" xfId="115" applyNumberFormat="1" applyFont="1" applyFill="1" applyBorder="1" applyAlignment="1" applyProtection="1">
      <alignment horizontal="left" vertical="center" indent="1"/>
      <protection/>
    </xf>
    <xf numFmtId="0" fontId="15" fillId="0" borderId="0" xfId="114" applyFont="1" applyAlignment="1">
      <alignment horizontal="left" wrapText="1"/>
      <protection/>
    </xf>
    <xf numFmtId="0" fontId="15" fillId="92" borderId="57" xfId="113" applyFont="1" applyFill="1" applyBorder="1" applyAlignment="1" applyProtection="1">
      <alignment horizontal="left" vertical="center" wrapText="1" indent="1"/>
      <protection/>
    </xf>
    <xf numFmtId="0" fontId="15" fillId="92" borderId="44" xfId="113" applyFont="1" applyFill="1" applyBorder="1" applyAlignment="1" applyProtection="1">
      <alignment horizontal="left" vertical="center" wrapText="1" indent="1"/>
      <protection/>
    </xf>
    <xf numFmtId="0" fontId="15" fillId="92" borderId="45" xfId="113" applyFont="1" applyFill="1" applyBorder="1" applyAlignment="1" applyProtection="1">
      <alignment horizontal="left" vertical="center" wrapText="1" indent="1"/>
      <protection/>
    </xf>
    <xf numFmtId="0" fontId="15" fillId="92" borderId="57" xfId="116" applyFont="1" applyFill="1" applyBorder="1" applyAlignment="1" applyProtection="1">
      <alignment horizontal="left" vertical="center" wrapText="1" indent="1"/>
      <protection/>
    </xf>
    <xf numFmtId="0" fontId="15" fillId="92" borderId="44" xfId="116" applyFont="1" applyFill="1" applyBorder="1" applyAlignment="1" applyProtection="1">
      <alignment horizontal="left" vertical="center" wrapText="1" indent="1"/>
      <protection/>
    </xf>
    <xf numFmtId="0" fontId="15" fillId="92" borderId="45" xfId="116" applyFont="1" applyFill="1" applyBorder="1" applyAlignment="1" applyProtection="1">
      <alignment horizontal="left" vertical="center" wrapText="1" indent="1"/>
      <protection/>
    </xf>
    <xf numFmtId="0" fontId="15" fillId="0" borderId="9" xfId="113" applyFont="1" applyFill="1" applyBorder="1" applyAlignment="1" applyProtection="1">
      <alignment horizontal="left" vertical="top" wrapText="1" indent="1"/>
      <protection/>
    </xf>
    <xf numFmtId="0" fontId="15" fillId="0" borderId="9" xfId="116" applyFont="1" applyFill="1" applyBorder="1" applyAlignment="1" applyProtection="1">
      <alignment horizontal="left" vertical="top" wrapText="1" indent="1"/>
      <protection/>
    </xf>
    <xf numFmtId="0" fontId="15" fillId="0" borderId="20" xfId="113" applyFont="1" applyFill="1" applyBorder="1" applyAlignment="1" applyProtection="1">
      <alignment horizontal="left" vertical="top" wrapText="1" indent="1"/>
      <protection/>
    </xf>
    <xf numFmtId="0" fontId="15" fillId="0" borderId="19" xfId="113" applyFont="1" applyFill="1" applyBorder="1" applyAlignment="1" applyProtection="1">
      <alignment horizontal="left" vertical="top" wrapText="1" indent="1"/>
      <protection/>
    </xf>
    <xf numFmtId="0" fontId="15" fillId="0" borderId="34" xfId="113" applyFont="1" applyFill="1" applyBorder="1" applyAlignment="1" applyProtection="1">
      <alignment horizontal="left" vertical="top" wrapText="1" indent="1"/>
      <protection/>
    </xf>
    <xf numFmtId="0" fontId="15" fillId="0" borderId="20" xfId="116" applyFont="1" applyFill="1" applyBorder="1" applyAlignment="1" applyProtection="1">
      <alignment horizontal="left" vertical="top" wrapText="1" indent="1"/>
      <protection/>
    </xf>
    <xf numFmtId="0" fontId="15" fillId="0" borderId="19" xfId="116" applyFont="1" applyFill="1" applyBorder="1" applyAlignment="1" applyProtection="1">
      <alignment horizontal="left" vertical="top" wrapText="1" indent="1"/>
      <protection/>
    </xf>
    <xf numFmtId="0" fontId="15" fillId="0" borderId="34" xfId="116" applyFont="1" applyFill="1" applyBorder="1" applyAlignment="1" applyProtection="1">
      <alignment horizontal="left" vertical="top" wrapText="1" indent="1"/>
      <protection/>
    </xf>
    <xf numFmtId="0" fontId="15" fillId="23" borderId="20" xfId="113" applyFont="1" applyFill="1" applyBorder="1" applyAlignment="1" applyProtection="1">
      <alignment horizontal="left" vertical="top" wrapText="1" indent="1"/>
      <protection/>
    </xf>
    <xf numFmtId="0" fontId="15" fillId="23" borderId="19" xfId="113" applyFont="1" applyFill="1" applyBorder="1" applyAlignment="1" applyProtection="1">
      <alignment horizontal="left" vertical="top" wrapText="1" indent="1"/>
      <protection/>
    </xf>
    <xf numFmtId="0" fontId="15" fillId="23" borderId="34" xfId="113" applyFont="1" applyFill="1" applyBorder="1" applyAlignment="1" applyProtection="1">
      <alignment horizontal="left" vertical="top" wrapText="1" indent="1"/>
      <protection/>
    </xf>
    <xf numFmtId="0" fontId="15" fillId="23" borderId="20" xfId="116" applyFont="1" applyFill="1" applyBorder="1" applyAlignment="1" applyProtection="1">
      <alignment horizontal="left" vertical="top" wrapText="1" indent="1"/>
      <protection/>
    </xf>
    <xf numFmtId="0" fontId="15" fillId="23" borderId="19" xfId="116" applyFont="1" applyFill="1" applyBorder="1" applyAlignment="1" applyProtection="1">
      <alignment horizontal="left" vertical="top" wrapText="1" indent="1"/>
      <protection/>
    </xf>
    <xf numFmtId="0" fontId="15" fillId="23" borderId="34" xfId="116" applyFont="1" applyFill="1" applyBorder="1" applyAlignment="1" applyProtection="1">
      <alignment horizontal="left" vertical="top" wrapText="1" indent="1"/>
      <protection/>
    </xf>
    <xf numFmtId="0" fontId="15" fillId="23" borderId="9" xfId="113" applyFont="1" applyFill="1" applyBorder="1" applyAlignment="1" applyProtection="1">
      <alignment horizontal="left" vertical="top" wrapText="1" indent="1"/>
      <protection/>
    </xf>
    <xf numFmtId="0" fontId="15" fillId="23" borderId="9" xfId="116" applyFont="1" applyFill="1" applyBorder="1" applyAlignment="1" applyProtection="1">
      <alignment horizontal="left" vertical="top" wrapText="1" indent="1"/>
      <protection/>
    </xf>
    <xf numFmtId="0" fontId="35" fillId="93" borderId="17" xfId="114" applyFont="1" applyFill="1" applyBorder="1" applyAlignment="1" applyProtection="1">
      <alignment horizontal="center"/>
      <protection/>
    </xf>
    <xf numFmtId="0" fontId="14" fillId="93" borderId="17" xfId="107" applyFont="1" applyFill="1" applyBorder="1" applyAlignment="1">
      <alignment horizontal="right" vertical="center"/>
      <protection/>
    </xf>
    <xf numFmtId="0" fontId="14" fillId="93" borderId="17" xfId="107" applyFont="1" applyFill="1" applyBorder="1" applyAlignment="1" quotePrefix="1">
      <alignment horizontal="right" vertical="center"/>
      <protection/>
    </xf>
    <xf numFmtId="0" fontId="14" fillId="93" borderId="57" xfId="107" applyFont="1" applyFill="1" applyBorder="1" applyAlignment="1" quotePrefix="1">
      <alignment horizontal="right" vertical="center"/>
      <protection/>
    </xf>
    <xf numFmtId="0" fontId="35" fillId="93" borderId="20" xfId="114" applyFont="1" applyFill="1" applyBorder="1" applyAlignment="1" applyProtection="1">
      <alignment horizontal="center"/>
      <protection/>
    </xf>
    <xf numFmtId="0" fontId="35" fillId="93" borderId="19" xfId="114" applyFont="1" applyFill="1" applyBorder="1" applyAlignment="1" applyProtection="1">
      <alignment horizontal="center"/>
      <protection/>
    </xf>
    <xf numFmtId="0" fontId="35" fillId="93" borderId="34" xfId="114" applyFont="1" applyFill="1" applyBorder="1" applyAlignment="1" applyProtection="1">
      <alignment horizontal="center"/>
      <protection/>
    </xf>
    <xf numFmtId="0" fontId="15" fillId="93" borderId="19" xfId="104" applyFont="1" applyFill="1" applyBorder="1" applyAlignment="1">
      <alignment horizontal="left"/>
      <protection/>
    </xf>
    <xf numFmtId="0" fontId="14" fillId="93" borderId="18" xfId="107" applyFont="1" applyFill="1" applyBorder="1" applyAlignment="1" quotePrefix="1">
      <alignment horizontal="right" vertical="center"/>
      <protection/>
    </xf>
    <xf numFmtId="0" fontId="14" fillId="93" borderId="18" xfId="104" applyFont="1" applyFill="1" applyBorder="1" applyAlignment="1">
      <alignment horizontal="right"/>
      <protection/>
    </xf>
    <xf numFmtId="0" fontId="35" fillId="126" borderId="20" xfId="114" applyFont="1" applyFill="1" applyBorder="1" applyAlignment="1" applyProtection="1">
      <alignment horizontal="center"/>
      <protection/>
    </xf>
    <xf numFmtId="0" fontId="35" fillId="126" borderId="19" xfId="114" applyFont="1" applyFill="1" applyBorder="1" applyAlignment="1" applyProtection="1">
      <alignment horizontal="center"/>
      <protection/>
    </xf>
    <xf numFmtId="0" fontId="35" fillId="126" borderId="34" xfId="114" applyFont="1" applyFill="1" applyBorder="1" applyAlignment="1" applyProtection="1">
      <alignment horizontal="center"/>
      <protection/>
    </xf>
    <xf numFmtId="0" fontId="15" fillId="93" borderId="34" xfId="104" applyFont="1" applyFill="1" applyBorder="1" applyAlignment="1">
      <alignment horizontal="left"/>
      <protection/>
    </xf>
    <xf numFmtId="0" fontId="14" fillId="236" borderId="38" xfId="111" applyFont="1" applyFill="1" applyBorder="1" applyAlignment="1">
      <alignment horizontal="center" vertical="center"/>
      <protection/>
    </xf>
    <xf numFmtId="0" fontId="14" fillId="237" borderId="16" xfId="111" applyFont="1" applyFill="1" applyBorder="1" applyAlignment="1">
      <alignment horizontal="center" vertical="center"/>
      <protection/>
    </xf>
    <xf numFmtId="0" fontId="14" fillId="238" borderId="20" xfId="111" applyFont="1" applyFill="1" applyBorder="1" applyAlignment="1">
      <alignment horizontal="center" vertical="center"/>
      <protection/>
    </xf>
    <xf numFmtId="0" fontId="14" fillId="239" borderId="19" xfId="111" applyFont="1" applyFill="1" applyBorder="1" applyAlignment="1">
      <alignment horizontal="center" vertical="center"/>
      <protection/>
    </xf>
    <xf numFmtId="0" fontId="14" fillId="93" borderId="19" xfId="104" applyFont="1" applyFill="1" applyBorder="1" applyAlignment="1">
      <alignment horizontal="right"/>
      <protection/>
    </xf>
    <xf numFmtId="0" fontId="14" fillId="93" borderId="9" xfId="107" applyFont="1" applyFill="1" applyBorder="1" applyAlignment="1">
      <alignment horizontal="right" vertical="center"/>
      <protection/>
    </xf>
    <xf numFmtId="0" fontId="14" fillId="93" borderId="9" xfId="107" applyFont="1" applyFill="1" applyBorder="1" applyAlignment="1" quotePrefix="1">
      <alignment horizontal="right" vertical="center"/>
      <protection/>
    </xf>
    <xf numFmtId="0" fontId="15" fillId="126" borderId="19" xfId="104" applyFont="1" applyFill="1" applyBorder="1" applyAlignment="1">
      <alignment horizontal="left"/>
      <protection/>
    </xf>
    <xf numFmtId="0" fontId="15" fillId="240" borderId="36" xfId="111" applyFont="1" applyFill="1" applyBorder="1" applyAlignment="1">
      <alignment horizontal="center"/>
      <protection/>
    </xf>
    <xf numFmtId="0" fontId="15" fillId="241" borderId="42" xfId="111" applyFont="1" applyFill="1" applyBorder="1" applyAlignment="1">
      <alignment horizontal="center"/>
      <protection/>
    </xf>
    <xf numFmtId="0" fontId="22" fillId="242" borderId="0" xfId="117" applyFont="1" applyFill="1" applyBorder="1" applyAlignment="1">
      <alignment horizontal="center" vertical="center" wrapText="1"/>
      <protection/>
    </xf>
    <xf numFmtId="164" fontId="23" fillId="243" borderId="0" xfId="0" applyFont="1" applyFill="1" applyBorder="1" applyAlignment="1">
      <alignment horizontal="center" vertical="center" wrapText="1"/>
    </xf>
    <xf numFmtId="164" fontId="22" fillId="244" borderId="0" xfId="0" applyFont="1" applyFill="1" applyBorder="1" applyAlignment="1">
      <alignment horizontal="center" vertical="center" wrapText="1"/>
    </xf>
    <xf numFmtId="164" fontId="22" fillId="245" borderId="0" xfId="0" applyFont="1" applyFill="1" applyBorder="1" applyAlignment="1">
      <alignment vertical="center"/>
    </xf>
    <xf numFmtId="164" fontId="24" fillId="246" borderId="0" xfId="0" applyFont="1" applyFill="1" applyBorder="1" applyAlignment="1">
      <alignment vertical="center" wrapText="1"/>
    </xf>
    <xf numFmtId="0" fontId="21" fillId="247" borderId="0" xfId="107" applyFont="1" applyFill="1" applyBorder="1" applyAlignment="1">
      <alignment vertical="center"/>
      <protection/>
    </xf>
    <xf numFmtId="0" fontId="21" fillId="248" borderId="0" xfId="107" applyFont="1" applyFill="1" applyBorder="1" applyAlignment="1">
      <alignment horizontal="right" vertical="center"/>
      <protection/>
    </xf>
    <xf numFmtId="0" fontId="21" fillId="249" borderId="0" xfId="107" applyFont="1" applyFill="1" applyBorder="1" applyAlignment="1">
      <alignment horizontal="left" vertical="center"/>
      <protection/>
    </xf>
  </cellXfs>
  <cellStyles count="12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20% - Accent6 2" xfId="25"/>
    <cellStyle name="40% - Accent1" xfId="26"/>
    <cellStyle name="40% - Accent1 2" xfId="27"/>
    <cellStyle name="40% - Accent2" xfId="28"/>
    <cellStyle name="40% - Accent3" xfId="29"/>
    <cellStyle name="40% - Accent3 2" xfId="30"/>
    <cellStyle name="40% - Accent4" xfId="31"/>
    <cellStyle name="40% - Accent4 2" xfId="32"/>
    <cellStyle name="40% - Accent5" xfId="33"/>
    <cellStyle name="40% - Accent5 2" xfId="34"/>
    <cellStyle name="40% - Accent6" xfId="35"/>
    <cellStyle name="40% - Accent6 2" xfId="36"/>
    <cellStyle name="60% - Accent1" xfId="37"/>
    <cellStyle name="60% - Accent2" xfId="38"/>
    <cellStyle name="60% - Accent3" xfId="39"/>
    <cellStyle name="60% - Accent4" xfId="40"/>
    <cellStyle name="60% - Accent5" xfId="41"/>
    <cellStyle name="60% - Accent6" xfId="42"/>
    <cellStyle name="Accent1" xfId="43"/>
    <cellStyle name="Accent1 2" xfId="44"/>
    <cellStyle name="Accent2" xfId="45"/>
    <cellStyle name="Accent2 2" xfId="46"/>
    <cellStyle name="Accent3" xfId="47"/>
    <cellStyle name="Accent3 2" xfId="48"/>
    <cellStyle name="Accent4" xfId="49"/>
    <cellStyle name="Accent4 2" xfId="50"/>
    <cellStyle name="Accent5" xfId="51"/>
    <cellStyle name="Accent6" xfId="52"/>
    <cellStyle name="Accent6 2" xfId="53"/>
    <cellStyle name="Bad" xfId="54"/>
    <cellStyle name="Calculation" xfId="55"/>
    <cellStyle name="Check Cell" xfId="56"/>
    <cellStyle name="Comma" xfId="57"/>
    <cellStyle name="Comma [0]" xfId="58"/>
    <cellStyle name="Comma0" xfId="59"/>
    <cellStyle name="Comma0 2" xfId="60"/>
    <cellStyle name="Comma0 3" xfId="61"/>
    <cellStyle name="Comma0 4" xfId="62"/>
    <cellStyle name="Comma0 5" xfId="63"/>
    <cellStyle name="Currency" xfId="64"/>
    <cellStyle name="Currency [0]" xfId="65"/>
    <cellStyle name="Currency0" xfId="66"/>
    <cellStyle name="Currency0 2" xfId="67"/>
    <cellStyle name="Currency0 3" xfId="68"/>
    <cellStyle name="Currency0 4" xfId="69"/>
    <cellStyle name="Currency0 5" xfId="70"/>
    <cellStyle name="Date" xfId="71"/>
    <cellStyle name="Date 2" xfId="72"/>
    <cellStyle name="Date 3" xfId="73"/>
    <cellStyle name="Date 4" xfId="74"/>
    <cellStyle name="Date 5" xfId="75"/>
    <cellStyle name="Explanatory Text" xfId="76"/>
    <cellStyle name="Fixed" xfId="77"/>
    <cellStyle name="Fixed 2" xfId="78"/>
    <cellStyle name="Fixed 3" xfId="79"/>
    <cellStyle name="Fixed 4" xfId="80"/>
    <cellStyle name="Fixed 5" xfId="81"/>
    <cellStyle name="Good" xfId="82"/>
    <cellStyle name="Heading 1" xfId="83"/>
    <cellStyle name="Heading 2" xfId="84"/>
    <cellStyle name="Heading 3" xfId="85"/>
    <cellStyle name="Heading 4" xfId="86"/>
    <cellStyle name="Hyperlink" xfId="87"/>
    <cellStyle name="Hyperlink 2" xfId="88"/>
    <cellStyle name="Hyperlink 2 2" xfId="89"/>
    <cellStyle name="Hyperlink 2 3" xfId="90"/>
    <cellStyle name="Input" xfId="91"/>
    <cellStyle name="Linked Cell" xfId="92"/>
    <cellStyle name="Neutral" xfId="93"/>
    <cellStyle name="Normal 2" xfId="94"/>
    <cellStyle name="Normal 2 2" xfId="95"/>
    <cellStyle name="Normal 2 2 2" xfId="96"/>
    <cellStyle name="Normal 2 2 3" xfId="97"/>
    <cellStyle name="Normal 2 3" xfId="98"/>
    <cellStyle name="Normal 2 4" xfId="99"/>
    <cellStyle name="Normal 3" xfId="100"/>
    <cellStyle name="Normal 4" xfId="101"/>
    <cellStyle name="Normal 5" xfId="102"/>
    <cellStyle name="Normal 6" xfId="103"/>
    <cellStyle name="Normal 7" xfId="104"/>
    <cellStyle name="Normal 7 2" xfId="105"/>
    <cellStyle name="Normal 7 3" xfId="106"/>
    <cellStyle name="Normal_Calculations" xfId="107"/>
    <cellStyle name="Normal_CIPM Air Density" xfId="108"/>
    <cellStyle name="Normal_Data Entry Sheet" xfId="109"/>
    <cellStyle name="Normal_Data Entry Sheet 2" xfId="110"/>
    <cellStyle name="Normal_GravCal" xfId="111"/>
    <cellStyle name="Normal_GravCal 2" xfId="112"/>
    <cellStyle name="Normal_GravCal 2 2" xfId="113"/>
    <cellStyle name="Normal_Gravimetric Uncertainty Analysis" xfId="114"/>
    <cellStyle name="Normal_Gravimetric Uncertainty Analysis 2" xfId="115"/>
    <cellStyle name="Normal_Gravimetric Uncertainty Analysis 2 2" xfId="116"/>
    <cellStyle name="Normal_UncRounding_GH" xfId="117"/>
    <cellStyle name="Normal_WA Blank Mass Control Chart" xfId="118"/>
    <cellStyle name="Normal_WAMRF-005 (draft-6), Volume Gravimetric" xfId="119"/>
    <cellStyle name="Normal_WAMRF-006 (Rev. 11), Modified Substitution" xfId="120"/>
    <cellStyle name="Normal_WAMRF-013 (Rev. 17), Volume Transfer, Prover" xfId="121"/>
    <cellStyle name="Note" xfId="122"/>
    <cellStyle name="Note 2" xfId="123"/>
    <cellStyle name="Note 2 2" xfId="124"/>
    <cellStyle name="Note 2 3" xfId="125"/>
    <cellStyle name="Output" xfId="126"/>
    <cellStyle name="Percent" xfId="127"/>
    <cellStyle name="Percent 2" xfId="128"/>
    <cellStyle name="Percent 2 2" xfId="129"/>
    <cellStyle name="Percent 2 3" xfId="130"/>
    <cellStyle name="Percent 2 4" xfId="131"/>
    <cellStyle name="Title" xfId="132"/>
    <cellStyle name="Total" xfId="133"/>
    <cellStyle name="Total 2" xfId="134"/>
    <cellStyle name="Total 3" xfId="135"/>
    <cellStyle name="Total 4" xfId="136"/>
    <cellStyle name="Total 5" xfId="137"/>
    <cellStyle name="Warning Text" xfId="138"/>
  </cellStyles>
  <dxfs count="42">
    <dxf>
      <font>
        <color indexed="9"/>
      </font>
      <fill>
        <patternFill>
          <bgColor indexed="9"/>
        </patternFill>
      </fill>
    </dxf>
    <dxf>
      <font>
        <b val="0"/>
        <i/>
      </font>
      <fill>
        <patternFill>
          <bgColor rgb="FFFF0000"/>
        </patternFill>
      </fill>
    </dxf>
    <dxf>
      <font>
        <b val="0"/>
        <i/>
      </font>
      <fill>
        <patternFill>
          <bgColor rgb="FF92D050"/>
        </patternFill>
      </fill>
    </dxf>
    <dxf>
      <font>
        <b val="0"/>
        <i/>
      </font>
      <fill>
        <patternFill>
          <bgColor rgb="FFFF0000"/>
        </patternFill>
      </fill>
    </dxf>
    <dxf>
      <font>
        <b val="0"/>
        <i/>
      </font>
      <fill>
        <patternFill>
          <bgColor rgb="FF92D050"/>
        </patternFill>
      </fill>
    </dxf>
    <dxf>
      <font>
        <color indexed="9"/>
      </font>
      <fill>
        <patternFill>
          <bgColor indexed="9"/>
        </patternFill>
      </fill>
    </dxf>
    <dxf>
      <font>
        <color indexed="9"/>
      </font>
      <fill>
        <patternFill patternType="none">
          <bgColor indexed="65"/>
        </patternFill>
      </fill>
    </dxf>
    <dxf>
      <fill>
        <patternFill>
          <fgColor indexed="64"/>
          <bgColor indexed="9"/>
        </patternFill>
      </fill>
    </dxf>
    <dxf>
      <fill>
        <patternFill>
          <fgColor indexed="64"/>
          <bgColor indexed="9"/>
        </patternFill>
      </fill>
    </dxf>
    <dxf>
      <font>
        <b/>
        <i/>
        <strike val="0"/>
        <color auto="1"/>
      </font>
      <fill>
        <patternFill>
          <fgColor indexed="64"/>
          <bgColor indexed="9"/>
        </patternFill>
      </fill>
    </dxf>
    <dxf>
      <font>
        <b/>
        <i/>
        <strike val="0"/>
        <color auto="1"/>
      </font>
      <fill>
        <patternFill>
          <fgColor indexed="64"/>
          <bgColor indexed="9"/>
        </patternFill>
      </fill>
    </dxf>
    <dxf>
      <font>
        <color theme="2" tint="-0.4999699890613556"/>
      </font>
      <fill>
        <patternFill>
          <fgColor indexed="64"/>
          <bgColor indexed="9"/>
        </patternFill>
      </fill>
    </dxf>
    <dxf>
      <font>
        <b/>
        <i/>
        <strike val="0"/>
        <color auto="1"/>
      </font>
      <fill>
        <patternFill>
          <fgColor indexed="64"/>
          <bgColor indexed="9"/>
        </patternFill>
      </fill>
    </dxf>
    <dxf>
      <font>
        <b/>
        <i/>
        <strike val="0"/>
        <color auto="1"/>
      </font>
      <fill>
        <patternFill>
          <fgColor indexed="64"/>
          <bgColor indexed="9"/>
        </patternFill>
      </fill>
    </dxf>
    <dxf>
      <font>
        <color theme="2" tint="-0.4999699890613556"/>
      </font>
      <fill>
        <patternFill>
          <fgColor indexed="64"/>
          <bgColor indexed="9"/>
        </patternFill>
      </fill>
    </dxf>
    <dxf>
      <fill>
        <patternFill>
          <fgColor indexed="64"/>
          <bgColor indexed="9"/>
        </patternFill>
      </fill>
    </dxf>
    <dxf>
      <fill>
        <patternFill>
          <fgColor indexed="64"/>
          <bgColor indexed="9"/>
        </patternFill>
      </fill>
    </dxf>
    <dxf>
      <font>
        <color theme="2" tint="-0.4999699890613556"/>
      </font>
      <fill>
        <patternFill>
          <fgColor indexed="64"/>
          <bgColor indexed="9"/>
        </patternFill>
      </fill>
    </dxf>
    <dxf>
      <fill>
        <patternFill>
          <fgColor indexed="64"/>
          <bgColor indexed="9"/>
        </patternFill>
      </fill>
    </dxf>
    <dxf>
      <fill>
        <patternFill>
          <fgColor indexed="64"/>
          <bgColor indexed="9"/>
        </patternFill>
      </fill>
    </dxf>
    <dxf>
      <font>
        <color theme="2" tint="-0.4999699890613556"/>
      </font>
      <fill>
        <patternFill>
          <fgColor indexed="64"/>
          <bgColor indexed="9"/>
        </patternFill>
      </fill>
    </dxf>
    <dxf>
      <font>
        <color rgb="FFFF0000"/>
      </font>
    </dxf>
    <dxf>
      <fill>
        <patternFill>
          <fgColor indexed="64"/>
          <bgColor indexed="9"/>
        </patternFill>
      </fill>
    </dxf>
    <dxf>
      <fill>
        <patternFill>
          <fgColor indexed="64"/>
          <bgColor indexed="9"/>
        </patternFill>
      </fill>
    </dxf>
    <dxf>
      <fill>
        <patternFill>
          <fgColor indexed="64"/>
          <bgColor indexed="9"/>
        </patternFill>
      </fill>
    </dxf>
    <dxf>
      <fill>
        <patternFill>
          <bgColor theme="8" tint="0.5999600291252136"/>
        </patternFill>
      </fill>
    </dxf>
    <dxf>
      <fill>
        <patternFill>
          <bgColor rgb="FFFFFF99"/>
        </patternFill>
      </fill>
    </dxf>
    <dxf>
      <fill>
        <patternFill>
          <bgColor theme="8" tint="0.5999600291252136"/>
        </patternFill>
      </fill>
    </dxf>
    <dxf>
      <fill>
        <patternFill>
          <bgColor rgb="FFFFFF99"/>
        </patternFill>
      </fill>
    </dxf>
    <dxf>
      <fill>
        <gradientFill degree="90">
          <stop position="0">
            <color theme="0"/>
          </stop>
          <stop position="1">
            <color theme="2" tint="-0.4980199933052063"/>
          </stop>
        </gradientFill>
      </fill>
      <border/>
    </dxf>
    <dxf>
      <fill>
        <gradientFill degree="90">
          <stop position="0">
            <color theme="0"/>
          </stop>
          <stop position="1">
            <color rgb="FFFF0000"/>
          </stop>
        </gradientFill>
      </fill>
      <border/>
    </dxf>
    <dxf>
      <fill>
        <gradientFill degree="90">
          <stop position="0">
            <color theme="0"/>
          </stop>
          <stop position="1">
            <color rgb="FF92D050"/>
          </stop>
        </gradientFill>
      </fill>
      <border/>
    </dxf>
    <dxf>
      <font>
        <color rgb="FFFF0000"/>
      </font>
      <border/>
    </dxf>
    <dxf>
      <font>
        <color theme="2" tint="-0.4999699890613556"/>
      </font>
      <fill>
        <gradientFill degree="90">
          <stop position="0">
            <color theme="0"/>
          </stop>
          <stop position="1">
            <color theme="2" tint="-0.4980199933052063"/>
          </stop>
        </gradientFill>
      </fill>
      <border/>
    </dxf>
    <dxf>
      <fill>
        <gradientFill type="path" left="0.5" right="0.5" top="0.5" bottom="0.5">
          <stop position="0">
            <color theme="0"/>
          </stop>
          <stop position="1">
            <color rgb="FFFF0000"/>
          </stop>
        </gradientFill>
      </fill>
      <border/>
    </dxf>
    <dxf>
      <fill>
        <gradientFill type="path" left="0.5" right="0.5" top="0.5" bottom="0.5">
          <stop position="0">
            <color theme="0"/>
          </stop>
          <stop position="1">
            <color rgb="FF00B050"/>
          </stop>
        </gradientFill>
      </fill>
      <border/>
    </dxf>
    <dxf>
      <font>
        <b/>
        <i/>
        <strike val="0"/>
        <color auto="1"/>
      </font>
      <fill>
        <gradientFill type="path" left="0.5" right="0.5" top="0.5" bottom="0.5">
          <stop position="0">
            <color theme="0"/>
          </stop>
          <stop position="1">
            <color rgb="FFFF0000"/>
          </stop>
        </gradientFill>
      </fill>
      <border/>
    </dxf>
    <dxf>
      <font>
        <b/>
        <i/>
        <strike val="0"/>
        <color auto="1"/>
      </font>
      <fill>
        <gradientFill type="path" left="0.5" right="0.5" top="0.5" bottom="0.5">
          <stop position="0">
            <color theme="0"/>
          </stop>
          <stop position="1">
            <color rgb="FF00B050"/>
          </stop>
        </gradientFill>
      </fill>
      <border/>
    </dxf>
    <dxf>
      <font>
        <color rgb="FFFFFFFF"/>
      </font>
      <fill>
        <patternFill patternType="none">
          <bgColor indexed="65"/>
        </patternFill>
      </fill>
      <border/>
    </dxf>
    <dxf>
      <font>
        <color rgb="FFFFFFFF"/>
      </font>
      <fill>
        <patternFill>
          <bgColor rgb="FFFFFFFF"/>
        </patternFill>
      </fill>
      <border/>
    </dxf>
    <dxf>
      <font>
        <b val="0"/>
        <i/>
      </font>
      <fill>
        <patternFill>
          <bgColor rgb="FF92D050"/>
        </patternFill>
      </fill>
      <border/>
    </dxf>
    <dxf>
      <font>
        <b val="0"/>
        <i/>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Uncertainty Analysis
SOP 14 Volume Gravimetric Calibration</a:t>
            </a:r>
          </a:p>
        </c:rich>
      </c:tx>
      <c:layout>
        <c:manualLayout>
          <c:xMode val="factor"/>
          <c:yMode val="factor"/>
          <c:x val="-0.00375"/>
          <c:y val="-0.0055"/>
        </c:manualLayout>
      </c:layout>
      <c:spPr>
        <a:noFill/>
        <a:ln w="3175">
          <a:noFill/>
        </a:ln>
      </c:spPr>
    </c:title>
    <c:plotArea>
      <c:layout>
        <c:manualLayout>
          <c:xMode val="edge"/>
          <c:yMode val="edge"/>
          <c:x val="0.092"/>
          <c:y val="0.1275"/>
          <c:w val="0.8815"/>
          <c:h val="0.75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'Uncertainty Analysis'!$C$79:$C$91</c:f>
              <c:strCache/>
            </c:strRef>
          </c:cat>
          <c:val>
            <c:numRef>
              <c:f>'Uncertainty Analysis'!$J$79:$J$91</c:f>
              <c:numCache/>
            </c:numRef>
          </c:val>
        </c:ser>
        <c:axId val="54622599"/>
        <c:axId val="21841344"/>
      </c:barChart>
      <c:catAx>
        <c:axId val="54622599"/>
        <c:scaling>
          <c:orientation val="minMax"/>
        </c:scaling>
        <c:axPos val="b"/>
        <c:title>
          <c:tx>
            <c:rich>
              <a:bodyPr vert="horz" rot="0" anchor="ctr"/>
              <a:lstStyle/>
              <a:p>
                <a:pPr algn="ctr">
                  <a:defRPr/>
                </a:pPr>
                <a:r>
                  <a:rPr lang="en-US" cap="none" sz="1200" b="0" i="0" u="none" baseline="0">
                    <a:solidFill>
                      <a:srgbClr val="000000"/>
                    </a:solidFill>
                  </a:rPr>
                  <a:t>Impact Components</a:t>
                </a:r>
              </a:p>
            </c:rich>
          </c:tx>
          <c:layout>
            <c:manualLayout>
              <c:xMode val="factor"/>
              <c:yMode val="factor"/>
              <c:x val="0"/>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1841344"/>
        <c:crosses val="autoZero"/>
        <c:auto val="1"/>
        <c:lblOffset val="100"/>
        <c:tickLblSkip val="1"/>
        <c:noMultiLvlLbl val="0"/>
      </c:catAx>
      <c:valAx>
        <c:axId val="21841344"/>
        <c:scaling>
          <c:orientation val="minMax"/>
        </c:scaling>
        <c:axPos val="l"/>
        <c:title>
          <c:tx>
            <c:rich>
              <a:bodyPr vert="horz" rot="-5400000" anchor="ctr"/>
              <a:lstStyle/>
              <a:p>
                <a:pPr algn="ctr">
                  <a:defRPr/>
                </a:pPr>
                <a:r>
                  <a:rPr lang="en-US" cap="none" sz="1200" b="0" i="0" u="none" baseline="0">
                    <a:solidFill>
                      <a:srgbClr val="000000"/>
                    </a:solidFill>
                  </a:rPr>
                  <a:t>Value in mL</a:t>
                </a:r>
              </a:p>
            </c:rich>
          </c:tx>
          <c:layout>
            <c:manualLayout>
              <c:xMode val="factor"/>
              <c:yMode val="factor"/>
              <c:x val="-0.015"/>
              <c:y val="0.0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462259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8.emf" /><Relationship Id="rId4" Type="http://schemas.openxmlformats.org/officeDocument/2006/relationships/image" Target="../media/image12.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1.emf" /><Relationship Id="rId8" Type="http://schemas.openxmlformats.org/officeDocument/2006/relationships/image" Target="../media/image3.emf" /><Relationship Id="rId9"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19050</xdr:rowOff>
    </xdr:from>
    <xdr:to>
      <xdr:col>8</xdr:col>
      <xdr:colOff>285750</xdr:colOff>
      <xdr:row>1</xdr:row>
      <xdr:rowOff>66675</xdr:rowOff>
    </xdr:to>
    <xdr:sp>
      <xdr:nvSpPr>
        <xdr:cNvPr id="1" name="Comment 6"/>
        <xdr:cNvSpPr>
          <a:spLocks/>
        </xdr:cNvSpPr>
      </xdr:nvSpPr>
      <xdr:spPr>
        <a:xfrm>
          <a:off x="314325" y="19050"/>
          <a:ext cx="5829300" cy="247650"/>
        </a:xfrm>
        <a:prstGeom prst="roundRect">
          <a:avLst/>
        </a:prstGeom>
        <a:solidFill>
          <a:srgbClr val="FFFFFF"/>
        </a:solidFill>
        <a:ln w="9525" cmpd="sng">
          <a:solidFill>
            <a:srgbClr val="993300"/>
          </a:solidFill>
          <a:headEnd type="none"/>
          <a:tailEnd type="none"/>
        </a:ln>
      </xdr:spPr>
      <xdr:txBody>
        <a:bodyPr vertOverflow="clip" wrap="square" anchor="ctr"/>
        <a:p>
          <a:pPr algn="ctr">
            <a:defRPr/>
          </a:pPr>
          <a:r>
            <a:rPr lang="en-US" cap="none" sz="900" b="1" i="0" u="none" baseline="0">
              <a:solidFill>
                <a:srgbClr val="993300"/>
              </a:solidFill>
            </a:rPr>
            <a:t>Unprotect the worksheet, then double click the document to open in Adobe Acrobat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857250</xdr:colOff>
      <xdr:row>0</xdr:row>
      <xdr:rowOff>0</xdr:rowOff>
    </xdr:from>
    <xdr:to>
      <xdr:col>6</xdr:col>
      <xdr:colOff>76200</xdr:colOff>
      <xdr:row>9</xdr:row>
      <xdr:rowOff>76200</xdr:rowOff>
    </xdr:to>
    <xdr:pic>
      <xdr:nvPicPr>
        <xdr:cNvPr id="1" name="Picture 1" descr="WSDALogo-Lab-Letterhead.png"/>
        <xdr:cNvPicPr preferRelativeResize="1">
          <a:picLocks noChangeAspect="1"/>
        </xdr:cNvPicPr>
      </xdr:nvPicPr>
      <xdr:blipFill>
        <a:blip r:embed="rId1"/>
        <a:stretch>
          <a:fillRect/>
        </a:stretch>
      </xdr:blipFill>
      <xdr:spPr>
        <a:xfrm>
          <a:off x="857250" y="0"/>
          <a:ext cx="4762500" cy="1914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102</xdr:row>
      <xdr:rowOff>114300</xdr:rowOff>
    </xdr:from>
    <xdr:to>
      <xdr:col>11</xdr:col>
      <xdr:colOff>809625</xdr:colOff>
      <xdr:row>120</xdr:row>
      <xdr:rowOff>180975</xdr:rowOff>
    </xdr:to>
    <xdr:graphicFrame>
      <xdr:nvGraphicFramePr>
        <xdr:cNvPr id="1" name="Chart 2"/>
        <xdr:cNvGraphicFramePr/>
      </xdr:nvGraphicFramePr>
      <xdr:xfrm>
        <a:off x="57150" y="27860625"/>
        <a:ext cx="10077450" cy="3495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IST%20HB%20145,%20SOP%2021%20-%20LPG%20Provers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an%20Wright\My%20Documents\WSDA%20Metrology%20Laboratory\Uncertainties\Budgets\GravC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wright\Documents\Laboratory%20Documents\Templates\Measurement%20Related\Volume%20Calibrations\Volume%20Workbook%20Templates\Uncertainties\GravC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wright\Documents\Laboratory%20Documents\Templates\Measurement%20Related\Uncertainties\GravC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45LPG"/>
      <sheetName val="Current"/>
      <sheetName val="Pcorr Table &amp; Chart"/>
    </sheetNames>
    <sheetDataSet>
      <sheetData sheetId="0">
        <row r="67">
          <cell r="F67">
            <v>1</v>
          </cell>
        </row>
        <row r="99">
          <cell r="G99">
            <v>0</v>
          </cell>
          <cell r="I99">
            <v>0</v>
          </cell>
          <cell r="J99" t="e">
            <v>#VALUE!</v>
          </cell>
        </row>
        <row r="100">
          <cell r="G100">
            <v>10</v>
          </cell>
          <cell r="I100">
            <v>0</v>
          </cell>
          <cell r="J100" t="e">
            <v>#VALUE!</v>
          </cell>
        </row>
        <row r="101">
          <cell r="G101">
            <v>20</v>
          </cell>
          <cell r="I101">
            <v>0</v>
          </cell>
          <cell r="J101" t="e">
            <v>#VALUE!</v>
          </cell>
        </row>
        <row r="102">
          <cell r="G102">
            <v>30</v>
          </cell>
          <cell r="I102">
            <v>0</v>
          </cell>
          <cell r="J102" t="e">
            <v>#VALUE!</v>
          </cell>
        </row>
        <row r="103">
          <cell r="G103">
            <v>40</v>
          </cell>
          <cell r="I103">
            <v>0</v>
          </cell>
          <cell r="J103" t="e">
            <v>#VALUE!</v>
          </cell>
        </row>
        <row r="104">
          <cell r="G104">
            <v>50</v>
          </cell>
          <cell r="I104">
            <v>0</v>
          </cell>
          <cell r="J104" t="e">
            <v>#VALUE!</v>
          </cell>
        </row>
        <row r="105">
          <cell r="G105">
            <v>60</v>
          </cell>
          <cell r="I105">
            <v>0</v>
          </cell>
          <cell r="J105" t="e">
            <v>#VALUE!</v>
          </cell>
        </row>
        <row r="106">
          <cell r="G106">
            <v>70</v>
          </cell>
          <cell r="I106">
            <v>0</v>
          </cell>
          <cell r="J106" t="e">
            <v>#VALUE!</v>
          </cell>
        </row>
        <row r="107">
          <cell r="G107">
            <v>80</v>
          </cell>
          <cell r="I107">
            <v>0</v>
          </cell>
          <cell r="J107" t="e">
            <v>#VALUE!</v>
          </cell>
        </row>
        <row r="108">
          <cell r="G108">
            <v>90</v>
          </cell>
          <cell r="I108">
            <v>0</v>
          </cell>
          <cell r="J108" t="e">
            <v>#VALUE!</v>
          </cell>
        </row>
        <row r="109">
          <cell r="G109">
            <v>100</v>
          </cell>
          <cell r="I109">
            <v>0</v>
          </cell>
          <cell r="J109" t="e">
            <v>#VALUE!</v>
          </cell>
        </row>
        <row r="110">
          <cell r="G110">
            <v>110</v>
          </cell>
          <cell r="I110">
            <v>0</v>
          </cell>
          <cell r="J110" t="e">
            <v>#VALUE!</v>
          </cell>
        </row>
        <row r="111">
          <cell r="G111">
            <v>120</v>
          </cell>
          <cell r="I111">
            <v>0</v>
          </cell>
          <cell r="J111" t="e">
            <v>#VALUE!</v>
          </cell>
        </row>
        <row r="112">
          <cell r="G112">
            <v>130</v>
          </cell>
          <cell r="I112">
            <v>0</v>
          </cell>
          <cell r="J112" t="e">
            <v>#VALUE!</v>
          </cell>
        </row>
        <row r="113">
          <cell r="G113">
            <v>140</v>
          </cell>
          <cell r="I113">
            <v>0</v>
          </cell>
          <cell r="J113" t="e">
            <v>#VALUE!</v>
          </cell>
        </row>
        <row r="114">
          <cell r="G114">
            <v>150</v>
          </cell>
          <cell r="I114">
            <v>0</v>
          </cell>
          <cell r="J114" t="e">
            <v>#VALUE!</v>
          </cell>
        </row>
        <row r="115">
          <cell r="G115">
            <v>160</v>
          </cell>
          <cell r="I115">
            <v>0</v>
          </cell>
          <cell r="J115" t="e">
            <v>#VALUE!</v>
          </cell>
        </row>
        <row r="116">
          <cell r="G116">
            <v>170</v>
          </cell>
          <cell r="I116">
            <v>0</v>
          </cell>
          <cell r="J116" t="e">
            <v>#VALUE!</v>
          </cell>
        </row>
        <row r="117">
          <cell r="G117">
            <v>180</v>
          </cell>
          <cell r="I117">
            <v>0</v>
          </cell>
          <cell r="J117" t="e">
            <v>#VALUE!</v>
          </cell>
        </row>
        <row r="118">
          <cell r="G118">
            <v>190</v>
          </cell>
          <cell r="I118">
            <v>0</v>
          </cell>
          <cell r="J118" t="e">
            <v>#VALUE!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tables/table1.xml><?xml version="1.0" encoding="utf-8"?>
<table xmlns="http://schemas.openxmlformats.org/spreadsheetml/2006/main" id="2" name="List1" displayName="List1" ref="A2:C81" totalsRowShown="0">
  <autoFilter ref="A2:C81"/>
  <tableColumns count="3">
    <tableColumn id="1" name="Date"/>
    <tableColumn id="2" name="Description"/>
    <tableColumn id="3" name="Initials"/>
  </tableColumns>
  <tableStyleInfo name="TableStyleMedium4" showFirstColumn="0" showLastColumn="0" showRowStripes="1" showColumnStripes="0"/>
</table>
</file>

<file path=xl/tables/table2.xml><?xml version="1.0" encoding="utf-8"?>
<table xmlns="http://schemas.openxmlformats.org/spreadsheetml/2006/main" id="16" name="List117" displayName="List117" ref="A2:B10" totalsRowShown="0">
  <autoFilter ref="A2:B10"/>
  <tableColumns count="2">
    <tableColumn id="1" name="No."/>
    <tableColumn id="2" name="Description"/>
  </tableColumns>
  <tableStyleInfo name="TableStyleMedium6" showFirstColumn="0" showLastColumn="0" showRowStripes="1" showColumnStripes="0"/>
</table>
</file>

<file path=xl/tables/table3.xml><?xml version="1.0" encoding="utf-8"?>
<table xmlns="http://schemas.openxmlformats.org/spreadsheetml/2006/main" id="17" name="Table17" displayName="Table17" ref="A12:B149" totalsRowShown="0">
  <autoFilter ref="A12:B149"/>
  <tableColumns count="2">
    <tableColumn id="1" name="Name"/>
    <tableColumn id="2" name="Range"/>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oleObject" Target="../embeddings/oleObject_10_2.bin" /><Relationship Id="rId4" Type="http://schemas.openxmlformats.org/officeDocument/2006/relationships/oleObject" Target="../embeddings/oleObject_10_3.bin" /><Relationship Id="rId5" Type="http://schemas.openxmlformats.org/officeDocument/2006/relationships/oleObject" Target="../embeddings/oleObject_10_4.bin" /><Relationship Id="rId6" Type="http://schemas.openxmlformats.org/officeDocument/2006/relationships/oleObject" Target="../embeddings/oleObject_10_5.bin" /><Relationship Id="rId7" Type="http://schemas.openxmlformats.org/officeDocument/2006/relationships/oleObject" Target="../embeddings/oleObject_10_6.bin" /><Relationship Id="rId8" Type="http://schemas.openxmlformats.org/officeDocument/2006/relationships/oleObject" Target="../embeddings/oleObject_10_7.bin" /><Relationship Id="rId9" Type="http://schemas.openxmlformats.org/officeDocument/2006/relationships/oleObject" Target="../embeddings/oleObject_10_8.bin" /><Relationship Id="rId10" Type="http://schemas.openxmlformats.org/officeDocument/2006/relationships/vmlDrawing" Target="../drawings/vmlDrawing2.vml" /><Relationship Id="rId11" Type="http://schemas.openxmlformats.org/officeDocument/2006/relationships/drawing" Target="../drawings/drawing3.xml" /><Relationship Id="rId1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H57"/>
  <sheetViews>
    <sheetView showGridLines="0" zoomScalePageLayoutView="0" workbookViewId="0" topLeftCell="A1">
      <selection activeCell="B4" sqref="B4"/>
    </sheetView>
  </sheetViews>
  <sheetFormatPr defaultColWidth="0" defaultRowHeight="12.75" customHeight="1" zeroHeight="1"/>
  <cols>
    <col min="1" max="1" width="12.21484375" style="211" customWidth="1"/>
    <col min="2" max="2" width="58.3359375" style="211" customWidth="1"/>
    <col min="3" max="3" width="9.5546875" style="275" customWidth="1"/>
    <col min="4" max="4" width="58.3359375" style="211" customWidth="1"/>
    <col min="5" max="5" width="3.21484375" style="211" customWidth="1"/>
    <col min="6" max="16384" width="7.99609375" style="211" hidden="1" customWidth="1"/>
  </cols>
  <sheetData>
    <row r="1" spans="1:3" s="194" customFormat="1" ht="21">
      <c r="A1" s="193" t="s">
        <v>284</v>
      </c>
      <c r="C1" s="195"/>
    </row>
    <row r="2" spans="1:3" s="197" customFormat="1" ht="18">
      <c r="A2" s="196"/>
      <c r="C2" s="198"/>
    </row>
    <row r="3" spans="1:4" s="197" customFormat="1" ht="36">
      <c r="A3" s="199" t="s">
        <v>285</v>
      </c>
      <c r="B3" s="200" t="s">
        <v>874</v>
      </c>
      <c r="C3" s="199" t="s">
        <v>286</v>
      </c>
      <c r="D3" s="201">
        <v>41983</v>
      </c>
    </row>
    <row r="4" spans="1:4" s="197" customFormat="1" ht="36">
      <c r="A4" s="199" t="s">
        <v>287</v>
      </c>
      <c r="B4" s="200" t="s">
        <v>288</v>
      </c>
      <c r="C4" s="199" t="s">
        <v>289</v>
      </c>
      <c r="D4" s="202" t="s">
        <v>288</v>
      </c>
    </row>
    <row r="5" spans="1:4" s="207" customFormat="1" ht="18" customHeight="1">
      <c r="A5" s="203" t="s">
        <v>290</v>
      </c>
      <c r="B5" s="204" t="s">
        <v>291</v>
      </c>
      <c r="C5" s="205" t="s">
        <v>292</v>
      </c>
      <c r="D5" s="206" t="s">
        <v>293</v>
      </c>
    </row>
    <row r="6" spans="1:4" ht="18" customHeight="1">
      <c r="A6" s="457" t="s">
        <v>294</v>
      </c>
      <c r="B6" s="208" t="s">
        <v>295</v>
      </c>
      <c r="C6" s="209" t="s">
        <v>354</v>
      </c>
      <c r="D6" s="210" t="s">
        <v>415</v>
      </c>
    </row>
    <row r="7" spans="1:4" ht="18" customHeight="1">
      <c r="A7" s="460"/>
      <c r="B7" s="212" t="s">
        <v>296</v>
      </c>
      <c r="C7" s="213" t="s">
        <v>354</v>
      </c>
      <c r="D7" s="214" t="s">
        <v>357</v>
      </c>
    </row>
    <row r="8" spans="1:4" ht="36" customHeight="1">
      <c r="A8" s="460"/>
      <c r="B8" s="208" t="s">
        <v>297</v>
      </c>
      <c r="C8" s="209" t="s">
        <v>354</v>
      </c>
      <c r="D8" s="210" t="s">
        <v>356</v>
      </c>
    </row>
    <row r="9" spans="1:4" ht="36" customHeight="1">
      <c r="A9" s="460"/>
      <c r="B9" s="212" t="s">
        <v>298</v>
      </c>
      <c r="C9" s="213" t="s">
        <v>354</v>
      </c>
      <c r="D9" s="214" t="s">
        <v>355</v>
      </c>
    </row>
    <row r="10" spans="1:4" ht="18" customHeight="1">
      <c r="A10" s="460"/>
      <c r="B10" s="208" t="s">
        <v>299</v>
      </c>
      <c r="C10" s="209" t="s">
        <v>354</v>
      </c>
      <c r="D10" s="210" t="s">
        <v>365</v>
      </c>
    </row>
    <row r="11" spans="1:4" ht="55.5" customHeight="1">
      <c r="A11" s="460"/>
      <c r="B11" s="212" t="s">
        <v>300</v>
      </c>
      <c r="C11" s="213" t="s">
        <v>354</v>
      </c>
      <c r="D11" s="214" t="s">
        <v>433</v>
      </c>
    </row>
    <row r="12" spans="1:4" ht="18" customHeight="1">
      <c r="A12" s="460"/>
      <c r="B12" s="208" t="s">
        <v>301</v>
      </c>
      <c r="C12" s="209" t="s">
        <v>354</v>
      </c>
      <c r="D12" s="210" t="s">
        <v>358</v>
      </c>
    </row>
    <row r="13" spans="1:4" ht="36.75" customHeight="1">
      <c r="A13" s="460"/>
      <c r="B13" s="212" t="s">
        <v>302</v>
      </c>
      <c r="C13" s="213" t="s">
        <v>354</v>
      </c>
      <c r="D13" s="214" t="s">
        <v>359</v>
      </c>
    </row>
    <row r="14" spans="1:4" ht="18" customHeight="1">
      <c r="A14" s="460"/>
      <c r="B14" s="208" t="s">
        <v>303</v>
      </c>
      <c r="C14" s="209" t="s">
        <v>354</v>
      </c>
      <c r="D14" s="210" t="s">
        <v>360</v>
      </c>
    </row>
    <row r="15" spans="1:4" ht="18" customHeight="1">
      <c r="A15" s="460"/>
      <c r="B15" s="212" t="s">
        <v>304</v>
      </c>
      <c r="C15" s="213" t="s">
        <v>354</v>
      </c>
      <c r="D15" s="214" t="s">
        <v>361</v>
      </c>
    </row>
    <row r="16" spans="1:4" ht="18" customHeight="1">
      <c r="A16" s="460"/>
      <c r="B16" s="208" t="s">
        <v>305</v>
      </c>
      <c r="C16" s="209" t="s">
        <v>126</v>
      </c>
      <c r="D16" s="210" t="s">
        <v>362</v>
      </c>
    </row>
    <row r="17" spans="1:4" ht="18" customHeight="1">
      <c r="A17" s="460"/>
      <c r="B17" s="212" t="s">
        <v>306</v>
      </c>
      <c r="C17" s="213" t="s">
        <v>354</v>
      </c>
      <c r="D17" s="214" t="s">
        <v>363</v>
      </c>
    </row>
    <row r="18" spans="1:4" ht="18" customHeight="1">
      <c r="A18" s="460"/>
      <c r="B18" s="215" t="s">
        <v>307</v>
      </c>
      <c r="C18" s="216" t="s">
        <v>354</v>
      </c>
      <c r="D18" s="217" t="s">
        <v>364</v>
      </c>
    </row>
    <row r="19" spans="1:4" ht="18" customHeight="1">
      <c r="A19" s="461" t="s">
        <v>308</v>
      </c>
      <c r="B19" s="218" t="s">
        <v>309</v>
      </c>
      <c r="C19" s="219" t="s">
        <v>354</v>
      </c>
      <c r="D19" s="220" t="s">
        <v>366</v>
      </c>
    </row>
    <row r="20" spans="1:4" ht="36" customHeight="1">
      <c r="A20" s="461"/>
      <c r="B20" s="221" t="s">
        <v>310</v>
      </c>
      <c r="C20" s="222" t="s">
        <v>354</v>
      </c>
      <c r="D20" s="223" t="s">
        <v>752</v>
      </c>
    </row>
    <row r="21" spans="1:4" ht="18" customHeight="1">
      <c r="A21" s="461"/>
      <c r="B21" s="218" t="s">
        <v>311</v>
      </c>
      <c r="C21" s="219" t="s">
        <v>354</v>
      </c>
      <c r="D21" s="220" t="s">
        <v>396</v>
      </c>
    </row>
    <row r="22" spans="1:4" ht="36" customHeight="1">
      <c r="A22" s="461"/>
      <c r="B22" s="221" t="s">
        <v>312</v>
      </c>
      <c r="C22" s="222" t="s">
        <v>354</v>
      </c>
      <c r="D22" s="223" t="s">
        <v>367</v>
      </c>
    </row>
    <row r="23" spans="1:4" ht="18" customHeight="1">
      <c r="A23" s="462" t="s">
        <v>313</v>
      </c>
      <c r="B23" s="224" t="s">
        <v>314</v>
      </c>
      <c r="C23" s="225" t="s">
        <v>354</v>
      </c>
      <c r="D23" s="226" t="s">
        <v>368</v>
      </c>
    </row>
    <row r="24" spans="1:4" ht="18" customHeight="1">
      <c r="A24" s="462"/>
      <c r="B24" s="227" t="s">
        <v>315</v>
      </c>
      <c r="C24" s="228" t="s">
        <v>354</v>
      </c>
      <c r="D24" s="229"/>
    </row>
    <row r="25" spans="1:4" ht="36" customHeight="1">
      <c r="A25" s="462"/>
      <c r="B25" s="224" t="s">
        <v>316</v>
      </c>
      <c r="C25" s="225" t="s">
        <v>354</v>
      </c>
      <c r="D25" s="226" t="s">
        <v>369</v>
      </c>
    </row>
    <row r="26" spans="1:4" ht="18" customHeight="1">
      <c r="A26" s="462"/>
      <c r="B26" s="230" t="s">
        <v>317</v>
      </c>
      <c r="C26" s="228" t="s">
        <v>354</v>
      </c>
      <c r="D26" s="231" t="s">
        <v>384</v>
      </c>
    </row>
    <row r="27" spans="1:4" ht="36" customHeight="1">
      <c r="A27" s="458" t="s">
        <v>318</v>
      </c>
      <c r="B27" s="232" t="s">
        <v>319</v>
      </c>
      <c r="C27" s="233" t="s">
        <v>354</v>
      </c>
      <c r="D27" s="234" t="s">
        <v>385</v>
      </c>
    </row>
    <row r="28" spans="1:4" ht="36" customHeight="1">
      <c r="A28" s="458"/>
      <c r="B28" s="235" t="s">
        <v>320</v>
      </c>
      <c r="C28" s="236" t="s">
        <v>354</v>
      </c>
      <c r="D28" s="237" t="s">
        <v>370</v>
      </c>
    </row>
    <row r="29" spans="1:4" ht="36" customHeight="1">
      <c r="A29" s="458"/>
      <c r="B29" s="238" t="s">
        <v>321</v>
      </c>
      <c r="C29" s="239" t="s">
        <v>354</v>
      </c>
      <c r="D29" s="240" t="s">
        <v>386</v>
      </c>
    </row>
    <row r="30" spans="1:4" ht="18" customHeight="1">
      <c r="A30" s="463" t="s">
        <v>322</v>
      </c>
      <c r="B30" s="241" t="s">
        <v>323</v>
      </c>
      <c r="C30" s="242" t="s">
        <v>126</v>
      </c>
      <c r="D30" s="243" t="s">
        <v>567</v>
      </c>
    </row>
    <row r="31" spans="1:4" ht="18" customHeight="1">
      <c r="A31" s="463"/>
      <c r="B31" s="244" t="s">
        <v>324</v>
      </c>
      <c r="C31" s="245" t="s">
        <v>126</v>
      </c>
      <c r="D31" s="246" t="s">
        <v>371</v>
      </c>
    </row>
    <row r="32" spans="1:4" ht="18" customHeight="1">
      <c r="A32" s="463"/>
      <c r="B32" s="241" t="s">
        <v>325</v>
      </c>
      <c r="C32" s="242" t="s">
        <v>354</v>
      </c>
      <c r="D32" s="243" t="s">
        <v>385</v>
      </c>
    </row>
    <row r="33" spans="1:4" ht="18" customHeight="1">
      <c r="A33" s="463"/>
      <c r="B33" s="244" t="s">
        <v>326</v>
      </c>
      <c r="C33" s="245" t="s">
        <v>354</v>
      </c>
      <c r="D33" s="246" t="s">
        <v>397</v>
      </c>
    </row>
    <row r="34" spans="1:4" ht="18" customHeight="1">
      <c r="A34" s="463"/>
      <c r="B34" s="241" t="s">
        <v>327</v>
      </c>
      <c r="C34" s="242" t="s">
        <v>354</v>
      </c>
      <c r="D34" s="243" t="s">
        <v>398</v>
      </c>
    </row>
    <row r="35" spans="1:4" ht="18" customHeight="1">
      <c r="A35" s="463"/>
      <c r="B35" s="247" t="s">
        <v>328</v>
      </c>
      <c r="C35" s="248" t="s">
        <v>354</v>
      </c>
      <c r="D35" s="249" t="s">
        <v>372</v>
      </c>
    </row>
    <row r="36" spans="1:4" ht="18" customHeight="1">
      <c r="A36" s="464" t="s">
        <v>329</v>
      </c>
      <c r="B36" s="250" t="s">
        <v>330</v>
      </c>
      <c r="C36" s="251" t="s">
        <v>354</v>
      </c>
      <c r="D36" s="252" t="s">
        <v>387</v>
      </c>
    </row>
    <row r="37" spans="1:4" ht="35.25" customHeight="1">
      <c r="A37" s="464"/>
      <c r="B37" s="253" t="s">
        <v>331</v>
      </c>
      <c r="C37" s="254" t="s">
        <v>354</v>
      </c>
      <c r="D37" s="255" t="s">
        <v>373</v>
      </c>
    </row>
    <row r="38" spans="1:4" ht="18" customHeight="1">
      <c r="A38" s="464"/>
      <c r="B38" s="277" t="s">
        <v>332</v>
      </c>
      <c r="C38" s="278" t="s">
        <v>126</v>
      </c>
      <c r="D38" s="252" t="s">
        <v>388</v>
      </c>
    </row>
    <row r="39" spans="1:4" ht="54" customHeight="1">
      <c r="A39" s="464"/>
      <c r="B39" s="256" t="s">
        <v>333</v>
      </c>
      <c r="C39" s="257" t="s">
        <v>126</v>
      </c>
      <c r="D39" s="258"/>
    </row>
    <row r="40" spans="1:4" ht="36" customHeight="1">
      <c r="A40" s="456" t="s">
        <v>334</v>
      </c>
      <c r="B40" s="208" t="s">
        <v>335</v>
      </c>
      <c r="C40" s="209" t="s">
        <v>354</v>
      </c>
      <c r="D40" s="210" t="s">
        <v>389</v>
      </c>
    </row>
    <row r="41" spans="1:4" ht="36" customHeight="1">
      <c r="A41" s="457"/>
      <c r="B41" s="259" t="s">
        <v>336</v>
      </c>
      <c r="C41" s="213" t="s">
        <v>354</v>
      </c>
      <c r="D41" s="260" t="s">
        <v>390</v>
      </c>
    </row>
    <row r="42" spans="1:4" ht="54" customHeight="1">
      <c r="A42" s="261" t="s">
        <v>337</v>
      </c>
      <c r="B42" s="262" t="s">
        <v>338</v>
      </c>
      <c r="C42" s="263" t="s">
        <v>354</v>
      </c>
      <c r="D42" s="264" t="s">
        <v>374</v>
      </c>
    </row>
    <row r="43" spans="1:4" ht="63.75" customHeight="1">
      <c r="A43" s="265" t="s">
        <v>339</v>
      </c>
      <c r="B43" s="227" t="s">
        <v>340</v>
      </c>
      <c r="C43" s="266" t="s">
        <v>126</v>
      </c>
      <c r="D43" s="267" t="s">
        <v>375</v>
      </c>
    </row>
    <row r="44" spans="1:4" ht="36" customHeight="1">
      <c r="A44" s="458" t="s">
        <v>341</v>
      </c>
      <c r="B44" s="232" t="s">
        <v>342</v>
      </c>
      <c r="C44" s="233" t="s">
        <v>354</v>
      </c>
      <c r="D44" s="268" t="s">
        <v>376</v>
      </c>
    </row>
    <row r="45" spans="1:4" ht="18" customHeight="1">
      <c r="A45" s="458"/>
      <c r="B45" s="235" t="s">
        <v>343</v>
      </c>
      <c r="C45" s="236" t="s">
        <v>354</v>
      </c>
      <c r="D45" s="269" t="s">
        <v>391</v>
      </c>
    </row>
    <row r="46" spans="1:4" ht="18" customHeight="1">
      <c r="A46" s="458"/>
      <c r="B46" s="270" t="s">
        <v>344</v>
      </c>
      <c r="C46" s="271" t="s">
        <v>354</v>
      </c>
      <c r="D46" s="268" t="s">
        <v>377</v>
      </c>
    </row>
    <row r="47" spans="1:4" ht="18" customHeight="1">
      <c r="A47" s="458"/>
      <c r="B47" s="235" t="s">
        <v>345</v>
      </c>
      <c r="C47" s="236" t="s">
        <v>354</v>
      </c>
      <c r="D47" s="269" t="s">
        <v>378</v>
      </c>
    </row>
    <row r="48" spans="1:4" ht="18" customHeight="1">
      <c r="A48" s="458"/>
      <c r="B48" s="270" t="s">
        <v>346</v>
      </c>
      <c r="C48" s="271" t="s">
        <v>354</v>
      </c>
      <c r="D48" s="268" t="s">
        <v>379</v>
      </c>
    </row>
    <row r="49" spans="1:4" ht="18" customHeight="1">
      <c r="A49" s="458"/>
      <c r="B49" s="272" t="s">
        <v>347</v>
      </c>
      <c r="C49" s="273" t="s">
        <v>354</v>
      </c>
      <c r="D49" s="274" t="s">
        <v>380</v>
      </c>
    </row>
    <row r="50" ht="12.75"/>
    <row r="51" ht="12.75" hidden="1"/>
    <row r="52" ht="12.75" hidden="1"/>
    <row r="53" ht="12.75" hidden="1"/>
    <row r="54" ht="12.75" hidden="1"/>
    <row r="55" ht="12.75" hidden="1"/>
    <row r="56" ht="12.75" hidden="1"/>
    <row r="57" spans="5:8" ht="12.75" hidden="1">
      <c r="E57" s="459"/>
      <c r="F57" s="459"/>
      <c r="G57" s="276"/>
      <c r="H57" s="276"/>
    </row>
  </sheetData>
  <sheetProtection password="83AF" sheet="1" objects="1" scenarios="1"/>
  <mergeCells count="9">
    <mergeCell ref="A40:A41"/>
    <mergeCell ref="A44:A49"/>
    <mergeCell ref="E57:F57"/>
    <mergeCell ref="A6:A18"/>
    <mergeCell ref="A19:A22"/>
    <mergeCell ref="A23:A26"/>
    <mergeCell ref="A27:A29"/>
    <mergeCell ref="A30:A35"/>
    <mergeCell ref="A36:A39"/>
  </mergeCells>
  <dataValidations count="1">
    <dataValidation type="list" allowBlank="1" showInputMessage="1" showErrorMessage="1" sqref="C6:C49">
      <formula1>"Pass,Fail,N/A"</formula1>
    </dataValidation>
  </dataValidations>
  <printOptions horizontalCentered="1"/>
  <pageMargins left="0.5" right="0.5" top="0.75" bottom="0.75" header="0.3" footer="0.3"/>
  <pageSetup fitToHeight="5" horizontalDpi="600" verticalDpi="600" orientation="landscape" scale="77" r:id="rId1"/>
  <headerFooter>
    <oddHeader>&amp;L&amp;"Trebuchet MS,Regular"Weights and Measures Program
Metrology Laboratory&amp;R&amp;"Trebuchet MS,Regular"WAQCF-018, Rev. 04, 8/9/2010</oddHeader>
    <oddFooter>&amp;R&amp;"Trebuchet MS,Regular"Page &amp;P of &amp;N</oddFooter>
  </headerFooter>
  <rowBreaks count="2" manualBreakCount="2">
    <brk id="26" max="3" man="1"/>
    <brk id="43" max="3" man="1"/>
  </rowBreaks>
</worksheet>
</file>

<file path=xl/worksheets/sheet10.xml><?xml version="1.0" encoding="utf-8"?>
<worksheet xmlns="http://schemas.openxmlformats.org/spreadsheetml/2006/main" xmlns:r="http://schemas.openxmlformats.org/officeDocument/2006/relationships">
  <sheetPr>
    <tabColor indexed="21"/>
  </sheetPr>
  <dimension ref="A1:E15"/>
  <sheetViews>
    <sheetView showGridLines="0" zoomScalePageLayoutView="0" workbookViewId="0" topLeftCell="A1">
      <selection activeCell="A1" sqref="A1"/>
    </sheetView>
  </sheetViews>
  <sheetFormatPr defaultColWidth="0" defaultRowHeight="15.75" zeroHeight="1"/>
  <cols>
    <col min="1" max="2" width="10.77734375" style="0" customWidth="1"/>
    <col min="3" max="3" width="11.5546875" style="0" bestFit="1" customWidth="1"/>
    <col min="4" max="5" width="10.77734375" style="0" customWidth="1"/>
    <col min="6" max="6" width="1.77734375" style="0" customWidth="1"/>
    <col min="7" max="9" width="0" style="0" hidden="1" customWidth="1"/>
    <col min="10" max="16384" width="8.88671875" style="0" hidden="1" customWidth="1"/>
  </cols>
  <sheetData>
    <row r="1" spans="1:5" ht="19.5" thickBot="1">
      <c r="A1" s="29" t="s">
        <v>100</v>
      </c>
      <c r="B1" s="7"/>
      <c r="C1" s="7"/>
      <c r="D1" s="7"/>
      <c r="E1" s="30">
        <f>IF(RptNo="","","Report Number: "&amp;RptNo)</f>
      </c>
    </row>
    <row r="2" spans="1:5" ht="19.5" customHeight="1">
      <c r="A2" s="670" t="s">
        <v>457</v>
      </c>
      <c r="B2" s="670"/>
      <c r="C2" s="670"/>
      <c r="D2" s="670"/>
      <c r="E2" s="670"/>
    </row>
    <row r="3" spans="1:5" ht="19.5" customHeight="1">
      <c r="A3" s="667" t="s">
        <v>599</v>
      </c>
      <c r="B3" s="667"/>
      <c r="C3" s="667"/>
      <c r="D3" s="667"/>
      <c r="E3" s="667"/>
    </row>
    <row r="4" spans="1:5" ht="16.5" customHeight="1">
      <c r="A4" s="669" t="s">
        <v>53</v>
      </c>
      <c r="B4" s="669"/>
      <c r="C4" s="669"/>
      <c r="D4" s="671">
        <f>IF(option="","",IF(option="option a",AVERAGE(P_1_Astart+P_corr,P_1_Aend+P_corr),AVERAGE(P_1_Bstart+P_corr,P_1_Bend+P_corr)))</f>
      </c>
      <c r="E4" s="671"/>
    </row>
    <row r="5" spans="1:5" ht="15.75">
      <c r="A5" s="668" t="s">
        <v>54</v>
      </c>
      <c r="B5" s="668"/>
      <c r="C5" s="668"/>
      <c r="D5" s="665">
        <f>IF(option="","",IF(option="option a",AVERAGE(t_air1_Astart+t_air_corr,t_air1_Aend+t_air_corr),AVERAGE(t_air1_Bstart+t_air_corr,t_air1_Bend+t_air_corr)))</f>
      </c>
      <c r="E5" s="665"/>
    </row>
    <row r="6" spans="1:5" ht="15.75">
      <c r="A6" s="668" t="s">
        <v>55</v>
      </c>
      <c r="B6" s="668"/>
      <c r="C6" s="668"/>
      <c r="D6" s="665">
        <f>IF(option="","",IF(option="option a",AVERAGE(U_1_Astart+rh_corr,U_1_Aend+rh_corr),AVERAGE(U_1_Bstart+rh_corr,U_1_Bend+rh_corr)))</f>
      </c>
      <c r="E6" s="665"/>
    </row>
    <row r="7" spans="1:5" ht="15.75">
      <c r="A7" s="666" t="s">
        <v>56</v>
      </c>
      <c r="B7" s="666"/>
      <c r="C7" s="666"/>
      <c r="D7" s="665">
        <f>IF(D6="","",((((D4*(133.322368421053))*(0.02896546))/((1-(((D4*133.322368421053)/(D5+273.15))*((0.00000158123)+((-0.000000029331)*(D5))+(0.00000000011043*D5^2)+(((0.000005707)+(-0.00000002051*D5))*((D6/100)*((1.00062+0.0000000314*(D4*133.322368421053)+0.00000056*D5^2)*((EXP(0.000012378847*(D5+273.15)^2+(-0.019121316*(D5+273.15))+33.93711047+(-6343.1645/(D5+273.15))))/(D4*133.322368421053)))))+((0.00019898+(-0.000002376*D5))*(((D6/100)*((1.00062+0.0000000314*(D4*133.322368421053)+0.00000056*D5^2)*((EXP(0.000012378847*(D5+273.15)^2+(-0.019121316)*(D5+273.15)+33.93711047+(-6343.1645)/(D5+273.15)))/(D4*133.322368421053))))^2))))+(((D4*133.322368421053)^2/((D5+273.15)^2)*(0.0000000000183+(-0.00000000765*(((D6/100)*((1.00062+0.0000000314*(D4*133.322368421053)+0.00000056*D5^2)*((EXP(0.000012378847*(D5+273.15)^2+(-0.019121316)*(D5+273.15)+33.93711047+(-6343.1645)/(D5+273.15)))/(D4*133.322368421053))))^2))))))*(8.314472)*(D5+273.15)))*(1-((0.378*((D6/100)*((1.00062+0.0000000314*(D4*133.322368421053)+0.00000056*D5^2)*((EXP(0.000012378847*(D5+273.15)^2+(-0.019121316)*(D5+273.15)+33.93711047+(-6343.1645)/(D5+273.15)))/(D4*133.322368421053)))))))))</f>
      </c>
      <c r="E7" s="665"/>
    </row>
    <row r="8" spans="1:5" ht="15.75">
      <c r="A8" s="32"/>
      <c r="B8" s="32"/>
      <c r="C8" s="32"/>
      <c r="D8" s="32"/>
      <c r="E8" s="33"/>
    </row>
    <row r="9" spans="1:5" ht="16.5" customHeight="1">
      <c r="A9" s="667" t="s">
        <v>8</v>
      </c>
      <c r="B9" s="667"/>
      <c r="C9" s="667"/>
      <c r="D9" s="667"/>
      <c r="E9" s="667"/>
    </row>
    <row r="10" spans="1:5" ht="15.75">
      <c r="A10" s="668" t="s">
        <v>53</v>
      </c>
      <c r="B10" s="668"/>
      <c r="C10" s="668"/>
      <c r="D10" s="665">
        <f>IF(option="","",IF(option="option a",AVERAGE(P_2_Astart+P_corr,P_2_Aend+P_corr),AVERAGE(P_2_Bstart+P_corr,P_2_Bend+P_corr)))</f>
      </c>
      <c r="E10" s="665"/>
    </row>
    <row r="11" spans="1:5" ht="15.75">
      <c r="A11" s="668" t="s">
        <v>54</v>
      </c>
      <c r="B11" s="668"/>
      <c r="C11" s="668"/>
      <c r="D11" s="665">
        <f>IF(option="","",IF(option="option a",AVERAGE(t_air2_Astart+t_air_corr,t_air2_Aend+t_air_corr),AVERAGE(t_air2_Bstart+t_air_corr,t_air2_Bend+t_air_corr)))</f>
      </c>
      <c r="E11" s="665"/>
    </row>
    <row r="12" spans="1:5" ht="15.75">
      <c r="A12" s="668" t="s">
        <v>55</v>
      </c>
      <c r="B12" s="668"/>
      <c r="C12" s="668"/>
      <c r="D12" s="665">
        <f>IF(option="","",IF(option="option a",AVERAGE(U_2_Astart+rh_corr,U_2_Aend+rh_corr),AVERAGE(U_2_Bstart+rh_corr,U_2_Bend+rh_corr)))</f>
      </c>
      <c r="E12" s="665"/>
    </row>
    <row r="13" spans="1:5" ht="15.75">
      <c r="A13" s="666" t="s">
        <v>56</v>
      </c>
      <c r="B13" s="666"/>
      <c r="C13" s="666"/>
      <c r="D13" s="665">
        <f>IF(D12="","",((((D10*(133.322368421053))*(0.02896546))/((1-(((D10*133.322368421053)/(D11+273.15))*((0.00000158123)+((-0.000000029331)*(D11))+(0.00000000011043*D11^2)+(((0.000005707)+(-0.00000002051*D11))*((D12/100)*((1.00062+0.0000000314*(D10*133.322368421053)+0.00000056*D11^2)*((EXP(0.000012378847*(D11+273.15)^2+(-0.019121316*(D11+273.15))+33.93711047+(-6343.1645/(D11+273.15))))/(D10*133.322368421053)))))+((0.00019898+(-0.000002376*D11))*(((D12/100)*((1.00062+0.0000000314*(D10*133.322368421053)+0.00000056*D11^2)*((EXP(0.000012378847*(D11+273.15)^2+(-0.019121316)*(D11+273.15)+33.93711047+(-6343.1645)/(D11+273.15)))/(D10*133.322368421053))))^2))))+(((D10*133.322368421053)^2/((D11+273.15)^2)*(0.0000000000183+(-0.00000000765*(((D12/100)*((1.00062+0.0000000314*(D10*133.322368421053)+0.00000056*D11^2)*((EXP(0.000012378847*(D11+273.15)^2+(-0.019121316)*(D11+273.15)+33.93711047+(-6343.1645)/(D11+273.15)))/(D10*133.322368421053))))^2))))))*(8.314472)*(D11+273.15)))*(1-((0.378*((D12/100)*((1.00062+0.0000000314*(D10*133.322368421053)+0.00000056*D11^2)*((EXP(0.000012378847*(D11+273.15)^2+(-0.019121316)*(D11+273.15)+33.93711047+(-6343.1645)/(D11+273.15)))/(D10*133.322368421053)))))))))</f>
      </c>
      <c r="E13" s="665"/>
    </row>
    <row r="14" ht="15.75">
      <c r="E14" s="4"/>
    </row>
    <row r="15" ht="15.75" hidden="1">
      <c r="E15" s="4"/>
    </row>
    <row r="16" ht="15.75" hidden="1"/>
    <row r="17" ht="15.75" hidden="1"/>
    <row r="18" ht="15.75" hidden="1"/>
    <row r="19" ht="15.75" hidden="1"/>
    <row r="20" ht="15.75" hidden="1"/>
    <row r="21" ht="15.75" hidden="1"/>
    <row r="22" ht="15.75" hidden="1"/>
  </sheetData>
  <sheetProtection password="83AF" sheet="1" objects="1" scenarios="1" selectLockedCells="1" selectUnlockedCells="1"/>
  <mergeCells count="19">
    <mergeCell ref="D11:E11"/>
    <mergeCell ref="A4:C4"/>
    <mergeCell ref="A6:C6"/>
    <mergeCell ref="A2:E2"/>
    <mergeCell ref="D4:E4"/>
    <mergeCell ref="D5:E5"/>
    <mergeCell ref="D6:E6"/>
    <mergeCell ref="A5:C5"/>
    <mergeCell ref="A3:E3"/>
    <mergeCell ref="D12:E12"/>
    <mergeCell ref="A13:C13"/>
    <mergeCell ref="D10:E10"/>
    <mergeCell ref="A7:C7"/>
    <mergeCell ref="A9:E9"/>
    <mergeCell ref="A10:C10"/>
    <mergeCell ref="D13:E13"/>
    <mergeCell ref="D7:E7"/>
    <mergeCell ref="A11:C11"/>
    <mergeCell ref="A12:C12"/>
  </mergeCells>
  <printOptions/>
  <pageMargins left="0.75" right="0.75" top="1.25" bottom="0.75" header="0.75" footer="0.5"/>
  <pageSetup horizontalDpi="600" verticalDpi="600" orientation="portrait" r:id="rId1"/>
  <headerFooter alignWithMargins="0">
    <oddHeader>&amp;L&amp;"Trebuchet MS,Regular"Gravimetric Calibration of Volumetric Ware
Using an Electronic Balance&amp;R&amp;"Trebuchet MS,Regular"WAMRF-005, Rev. 30, 12/10/2014</oddHeader>
    <oddFooter>&amp;L&amp;"Trebuchet MS,Regular"&amp;F&amp;R&amp;"Trebuchet MS,Regular"&amp;A Worksheet Page &amp;P of &amp;N</oddFooter>
  </headerFooter>
</worksheet>
</file>

<file path=xl/worksheets/sheet11.xml><?xml version="1.0" encoding="utf-8"?>
<worksheet xmlns="http://schemas.openxmlformats.org/spreadsheetml/2006/main" xmlns:r="http://schemas.openxmlformats.org/officeDocument/2006/relationships">
  <sheetPr>
    <tabColor indexed="18"/>
  </sheetPr>
  <dimension ref="A1:N133"/>
  <sheetViews>
    <sheetView showGridLines="0" workbookViewId="0" topLeftCell="A1">
      <selection activeCell="A1" sqref="A1"/>
    </sheetView>
  </sheetViews>
  <sheetFormatPr defaultColWidth="0" defaultRowHeight="0" customHeight="1" zeroHeight="1"/>
  <cols>
    <col min="1" max="12" width="9.88671875" style="350" customWidth="1"/>
    <col min="13" max="13" width="2.10546875" style="350" customWidth="1"/>
    <col min="14" max="14" width="14.77734375" style="350" hidden="1" customWidth="1"/>
    <col min="15" max="16384" width="0" style="350" hidden="1" customWidth="1"/>
  </cols>
  <sheetData>
    <row r="1" spans="1:12" ht="19.5" thickBot="1">
      <c r="A1" s="343" t="s">
        <v>101</v>
      </c>
      <c r="B1" s="344"/>
      <c r="C1" s="679"/>
      <c r="D1" s="679"/>
      <c r="E1" s="679"/>
      <c r="F1" s="679"/>
      <c r="G1" s="345"/>
      <c r="H1" s="345"/>
      <c r="I1" s="346"/>
      <c r="J1" s="347"/>
      <c r="K1" s="348"/>
      <c r="L1" s="349">
        <f>IF(RptNo="","","Report Number: "&amp;RptNo)</f>
      </c>
    </row>
    <row r="2" spans="2:14" ht="12" customHeight="1">
      <c r="B2" s="351"/>
      <c r="C2" s="351"/>
      <c r="D2" s="351"/>
      <c r="E2" s="351"/>
      <c r="F2" s="351"/>
      <c r="G2" s="351"/>
      <c r="H2" s="351"/>
      <c r="I2" s="351"/>
      <c r="J2" s="351"/>
      <c r="K2" s="351"/>
      <c r="L2" s="351"/>
      <c r="N2" s="352"/>
    </row>
    <row r="3" spans="1:12" ht="18.75" thickBot="1">
      <c r="A3" s="353" t="s">
        <v>20</v>
      </c>
      <c r="B3" s="354"/>
      <c r="C3" s="354"/>
      <c r="D3" s="354"/>
      <c r="E3" s="354"/>
      <c r="F3" s="354"/>
      <c r="G3" s="346"/>
      <c r="H3" s="346"/>
      <c r="I3" s="346"/>
      <c r="J3" s="346"/>
      <c r="K3" s="346"/>
      <c r="L3" s="354"/>
    </row>
    <row r="4" spans="1:12" ht="16.5">
      <c r="A4" s="355" t="s">
        <v>587</v>
      </c>
      <c r="B4" s="356"/>
      <c r="C4" s="356"/>
      <c r="D4" s="356"/>
      <c r="E4" s="356"/>
      <c r="F4" s="356"/>
      <c r="G4" s="357"/>
      <c r="H4" s="357"/>
      <c r="I4" s="357"/>
      <c r="J4" s="357"/>
      <c r="K4" s="357"/>
      <c r="L4" s="356"/>
    </row>
    <row r="5" spans="2:14" ht="12" customHeight="1">
      <c r="B5" s="351"/>
      <c r="C5" s="351"/>
      <c r="D5" s="351"/>
      <c r="E5" s="351"/>
      <c r="F5" s="351"/>
      <c r="G5" s="351"/>
      <c r="H5" s="351"/>
      <c r="I5" s="351"/>
      <c r="J5" s="351"/>
      <c r="K5" s="351"/>
      <c r="L5" s="351"/>
      <c r="N5" s="352"/>
    </row>
    <row r="6" spans="1:12" ht="18.75" thickBot="1">
      <c r="A6" s="353" t="s">
        <v>21</v>
      </c>
      <c r="B6" s="346"/>
      <c r="C6" s="354"/>
      <c r="D6" s="354"/>
      <c r="E6" s="354"/>
      <c r="F6" s="346"/>
      <c r="G6" s="346"/>
      <c r="H6" s="346"/>
      <c r="I6" s="346"/>
      <c r="J6" s="346"/>
      <c r="K6" s="346"/>
      <c r="L6" s="354"/>
    </row>
    <row r="7" spans="1:12" ht="16.5">
      <c r="A7" s="358" t="s">
        <v>477</v>
      </c>
      <c r="B7" s="359"/>
      <c r="C7" s="357"/>
      <c r="D7" s="357"/>
      <c r="E7" s="357"/>
      <c r="F7" s="357"/>
      <c r="G7" s="357"/>
      <c r="H7" s="357"/>
      <c r="I7" s="357"/>
      <c r="J7" s="357"/>
      <c r="K7" s="357"/>
      <c r="L7" s="359"/>
    </row>
    <row r="8" spans="1:12" ht="72" customHeight="1">
      <c r="A8" s="360"/>
      <c r="B8" s="359"/>
      <c r="C8" s="357"/>
      <c r="D8" s="357"/>
      <c r="E8" s="357"/>
      <c r="F8" s="357"/>
      <c r="G8" s="357"/>
      <c r="H8" s="357"/>
      <c r="I8" s="357"/>
      <c r="J8" s="357"/>
      <c r="K8" s="357"/>
      <c r="L8" s="359"/>
    </row>
    <row r="9" spans="1:12" ht="15">
      <c r="A9" s="360"/>
      <c r="B9" s="359"/>
      <c r="C9" s="357"/>
      <c r="D9" s="357"/>
      <c r="E9" s="357"/>
      <c r="F9" s="357"/>
      <c r="G9" s="357"/>
      <c r="H9" s="357"/>
      <c r="I9" s="357"/>
      <c r="J9" s="357"/>
      <c r="K9" s="357"/>
      <c r="L9" s="359"/>
    </row>
    <row r="10" spans="1:12" ht="16.5">
      <c r="A10" s="290" t="s">
        <v>15</v>
      </c>
      <c r="B10" s="291"/>
      <c r="C10" s="357"/>
      <c r="D10" s="357"/>
      <c r="E10" s="357"/>
      <c r="F10" s="357"/>
      <c r="G10" s="357"/>
      <c r="H10" s="357"/>
      <c r="I10" s="357"/>
      <c r="J10" s="357"/>
      <c r="K10" s="357"/>
      <c r="L10" s="359"/>
    </row>
    <row r="11" spans="1:12" ht="35.25" customHeight="1">
      <c r="A11" s="361" t="s">
        <v>83</v>
      </c>
      <c r="B11" s="680" t="s">
        <v>489</v>
      </c>
      <c r="C11" s="680"/>
      <c r="D11" s="680"/>
      <c r="E11" s="680"/>
      <c r="F11" s="680"/>
      <c r="G11" s="680"/>
      <c r="H11" s="680"/>
      <c r="I11" s="680"/>
      <c r="J11" s="680"/>
      <c r="K11" s="680"/>
      <c r="L11" s="680"/>
    </row>
    <row r="12" spans="1:12" ht="17.25">
      <c r="A12" s="28" t="s">
        <v>84</v>
      </c>
      <c r="B12" s="289" t="s">
        <v>480</v>
      </c>
      <c r="C12" s="357"/>
      <c r="D12" s="357"/>
      <c r="E12" s="357"/>
      <c r="F12" s="357"/>
      <c r="G12" s="357"/>
      <c r="H12" s="357"/>
      <c r="I12" s="357"/>
      <c r="J12" s="357"/>
      <c r="K12" s="357"/>
      <c r="L12" s="359"/>
    </row>
    <row r="13" spans="1:12" ht="17.25">
      <c r="A13" s="28" t="s">
        <v>85</v>
      </c>
      <c r="B13" s="289" t="s">
        <v>155</v>
      </c>
      <c r="C13" s="357"/>
      <c r="D13" s="357"/>
      <c r="E13" s="357"/>
      <c r="F13" s="357"/>
      <c r="G13" s="357"/>
      <c r="H13" s="357"/>
      <c r="I13" s="357"/>
      <c r="J13" s="357"/>
      <c r="K13" s="357"/>
      <c r="L13" s="359"/>
    </row>
    <row r="14" spans="1:12" ht="17.25">
      <c r="A14" s="28" t="s">
        <v>86</v>
      </c>
      <c r="B14" s="289" t="s">
        <v>481</v>
      </c>
      <c r="C14" s="357"/>
      <c r="D14" s="357"/>
      <c r="E14" s="357"/>
      <c r="F14" s="357"/>
      <c r="G14" s="357"/>
      <c r="H14" s="357"/>
      <c r="I14" s="357"/>
      <c r="J14" s="357"/>
      <c r="K14" s="357"/>
      <c r="L14" s="359"/>
    </row>
    <row r="15" spans="1:12" ht="17.25">
      <c r="A15" s="28" t="s">
        <v>87</v>
      </c>
      <c r="B15" s="289" t="s">
        <v>482</v>
      </c>
      <c r="C15" s="357"/>
      <c r="D15" s="357"/>
      <c r="E15" s="357"/>
      <c r="F15" s="357"/>
      <c r="G15" s="357"/>
      <c r="H15" s="357"/>
      <c r="I15" s="357"/>
      <c r="J15" s="357"/>
      <c r="K15" s="357"/>
      <c r="L15" s="359"/>
    </row>
    <row r="16" spans="1:12" ht="17.25">
      <c r="A16" s="28" t="s">
        <v>88</v>
      </c>
      <c r="B16" s="289" t="s">
        <v>483</v>
      </c>
      <c r="C16" s="357"/>
      <c r="D16" s="357"/>
      <c r="E16" s="357"/>
      <c r="F16" s="357"/>
      <c r="G16" s="357"/>
      <c r="H16" s="357"/>
      <c r="I16" s="357"/>
      <c r="J16" s="357"/>
      <c r="K16" s="357"/>
      <c r="L16" s="359"/>
    </row>
    <row r="17" spans="1:12" ht="12" customHeight="1">
      <c r="A17" s="360"/>
      <c r="B17" s="359"/>
      <c r="C17" s="357"/>
      <c r="D17" s="357"/>
      <c r="E17" s="357"/>
      <c r="F17" s="357"/>
      <c r="G17" s="357"/>
      <c r="H17" s="357"/>
      <c r="I17" s="357"/>
      <c r="J17" s="357"/>
      <c r="K17" s="357"/>
      <c r="L17" s="359"/>
    </row>
    <row r="18" spans="1:12" ht="16.5">
      <c r="A18" s="293" t="s">
        <v>478</v>
      </c>
      <c r="B18" s="359"/>
      <c r="C18" s="357"/>
      <c r="D18" s="357"/>
      <c r="E18" s="357"/>
      <c r="F18" s="357"/>
      <c r="G18" s="357"/>
      <c r="H18" s="357"/>
      <c r="I18" s="357"/>
      <c r="J18" s="357"/>
      <c r="K18" s="357"/>
      <c r="L18" s="359"/>
    </row>
    <row r="19" spans="1:12" ht="84" customHeight="1">
      <c r="A19" s="360"/>
      <c r="B19" s="359"/>
      <c r="C19" s="357"/>
      <c r="D19" s="357"/>
      <c r="E19" s="357"/>
      <c r="F19" s="357"/>
      <c r="G19" s="357"/>
      <c r="H19" s="357"/>
      <c r="I19" s="357"/>
      <c r="J19" s="357"/>
      <c r="K19" s="357"/>
      <c r="L19" s="359"/>
    </row>
    <row r="20" spans="1:12" ht="16.5">
      <c r="A20" s="355"/>
      <c r="B20" s="359"/>
      <c r="C20" s="357"/>
      <c r="D20" s="357"/>
      <c r="E20" s="357"/>
      <c r="F20" s="357"/>
      <c r="G20" s="357"/>
      <c r="H20" s="357"/>
      <c r="I20" s="357"/>
      <c r="J20" s="357"/>
      <c r="K20" s="357"/>
      <c r="L20" s="359"/>
    </row>
    <row r="21" spans="1:12" ht="16.5">
      <c r="A21" s="290" t="s">
        <v>15</v>
      </c>
      <c r="B21" s="291"/>
      <c r="C21" s="357"/>
      <c r="D21" s="357"/>
      <c r="E21" s="357"/>
      <c r="F21" s="357"/>
      <c r="G21" s="357"/>
      <c r="H21" s="357"/>
      <c r="I21" s="357"/>
      <c r="J21" s="357"/>
      <c r="K21" s="357"/>
      <c r="L21" s="359"/>
    </row>
    <row r="22" spans="1:12" ht="36" customHeight="1">
      <c r="A22" s="361" t="s">
        <v>83</v>
      </c>
      <c r="B22" s="680" t="s">
        <v>489</v>
      </c>
      <c r="C22" s="680"/>
      <c r="D22" s="680"/>
      <c r="E22" s="680"/>
      <c r="F22" s="680"/>
      <c r="G22" s="680"/>
      <c r="H22" s="680"/>
      <c r="I22" s="680"/>
      <c r="J22" s="680"/>
      <c r="K22" s="680"/>
      <c r="L22" s="680"/>
    </row>
    <row r="23" spans="1:12" ht="17.25">
      <c r="A23" s="28" t="s">
        <v>153</v>
      </c>
      <c r="B23" s="289" t="s">
        <v>484</v>
      </c>
      <c r="C23" s="357"/>
      <c r="D23" s="357"/>
      <c r="E23" s="357"/>
      <c r="F23" s="357"/>
      <c r="G23" s="357"/>
      <c r="H23" s="357"/>
      <c r="I23" s="357"/>
      <c r="J23" s="357"/>
      <c r="K23" s="357"/>
      <c r="L23" s="359"/>
    </row>
    <row r="24" spans="1:12" ht="17.25">
      <c r="A24" s="28" t="s">
        <v>154</v>
      </c>
      <c r="B24" s="289" t="s">
        <v>480</v>
      </c>
      <c r="C24" s="357"/>
      <c r="D24" s="357"/>
      <c r="E24" s="357"/>
      <c r="F24" s="357"/>
      <c r="G24" s="357"/>
      <c r="H24" s="357"/>
      <c r="I24" s="357"/>
      <c r="J24" s="357"/>
      <c r="K24" s="357"/>
      <c r="L24" s="359"/>
    </row>
    <row r="25" spans="1:12" ht="17.25">
      <c r="A25" s="28" t="s">
        <v>85</v>
      </c>
      <c r="B25" s="289" t="s">
        <v>155</v>
      </c>
      <c r="C25" s="357"/>
      <c r="D25" s="357"/>
      <c r="E25" s="357"/>
      <c r="F25" s="357"/>
      <c r="G25" s="357"/>
      <c r="H25" s="357"/>
      <c r="I25" s="357"/>
      <c r="J25" s="357"/>
      <c r="K25" s="357"/>
      <c r="L25" s="359"/>
    </row>
    <row r="26" spans="1:12" ht="17.25">
      <c r="A26" s="28" t="s">
        <v>86</v>
      </c>
      <c r="B26" s="289" t="s">
        <v>481</v>
      </c>
      <c r="C26" s="357"/>
      <c r="D26" s="357"/>
      <c r="E26" s="357"/>
      <c r="F26" s="357"/>
      <c r="G26" s="357"/>
      <c r="H26" s="357"/>
      <c r="I26" s="357"/>
      <c r="J26" s="357"/>
      <c r="K26" s="357"/>
      <c r="L26" s="359"/>
    </row>
    <row r="27" spans="1:12" ht="17.25">
      <c r="A27" s="28" t="s">
        <v>87</v>
      </c>
      <c r="B27" s="289" t="s">
        <v>482</v>
      </c>
      <c r="C27" s="357"/>
      <c r="D27" s="357"/>
      <c r="E27" s="357"/>
      <c r="F27" s="357"/>
      <c r="G27" s="357"/>
      <c r="H27" s="357"/>
      <c r="I27" s="357"/>
      <c r="J27" s="357"/>
      <c r="K27" s="357"/>
      <c r="L27" s="359"/>
    </row>
    <row r="28" spans="1:12" ht="17.25">
      <c r="A28" s="28" t="s">
        <v>88</v>
      </c>
      <c r="B28" s="289" t="s">
        <v>483</v>
      </c>
      <c r="C28" s="357"/>
      <c r="D28" s="357"/>
      <c r="E28" s="357"/>
      <c r="F28" s="357"/>
      <c r="G28" s="357"/>
      <c r="H28" s="357"/>
      <c r="I28" s="357"/>
      <c r="J28" s="357"/>
      <c r="K28" s="357"/>
      <c r="L28" s="359"/>
    </row>
    <row r="29" spans="1:12" ht="12" customHeight="1">
      <c r="A29" s="360"/>
      <c r="B29" s="359"/>
      <c r="C29" s="357"/>
      <c r="D29" s="357"/>
      <c r="E29" s="357"/>
      <c r="F29" s="357"/>
      <c r="G29" s="357"/>
      <c r="H29" s="357"/>
      <c r="I29" s="357"/>
      <c r="J29" s="357"/>
      <c r="K29" s="357"/>
      <c r="L29" s="359"/>
    </row>
    <row r="30" spans="1:12" ht="16.5">
      <c r="A30" s="293" t="s">
        <v>96</v>
      </c>
      <c r="B30" s="359"/>
      <c r="C30" s="357"/>
      <c r="D30" s="357"/>
      <c r="E30" s="357"/>
      <c r="F30" s="357"/>
      <c r="G30" s="357"/>
      <c r="H30" s="357"/>
      <c r="I30" s="357"/>
      <c r="J30" s="357"/>
      <c r="K30" s="357"/>
      <c r="L30" s="359"/>
    </row>
    <row r="31" spans="1:12" ht="39.75" customHeight="1">
      <c r="A31" s="360"/>
      <c r="B31" s="359"/>
      <c r="C31" s="357"/>
      <c r="D31" s="357"/>
      <c r="E31" s="357"/>
      <c r="F31" s="357"/>
      <c r="G31" s="357"/>
      <c r="H31" s="357"/>
      <c r="I31" s="357"/>
      <c r="J31" s="357"/>
      <c r="K31" s="357"/>
      <c r="L31" s="359"/>
    </row>
    <row r="32" spans="1:12" ht="15">
      <c r="A32" s="362"/>
      <c r="B32" s="359"/>
      <c r="C32" s="359"/>
      <c r="D32" s="359"/>
      <c r="E32" s="359"/>
      <c r="F32" s="357"/>
      <c r="G32" s="357"/>
      <c r="H32" s="357"/>
      <c r="I32" s="357"/>
      <c r="J32" s="357"/>
      <c r="K32" s="357"/>
      <c r="L32" s="359"/>
    </row>
    <row r="33" spans="1:12" ht="16.5">
      <c r="A33" s="290" t="s">
        <v>15</v>
      </c>
      <c r="B33" s="289"/>
      <c r="C33" s="363"/>
      <c r="D33" s="363"/>
      <c r="E33" s="363"/>
      <c r="F33" s="363"/>
      <c r="G33" s="363"/>
      <c r="H33" s="363"/>
      <c r="I33" s="363"/>
      <c r="J33" s="363"/>
      <c r="K33" s="363"/>
      <c r="L33" s="359"/>
    </row>
    <row r="34" spans="1:12" ht="17.25">
      <c r="A34" s="28" t="s">
        <v>89</v>
      </c>
      <c r="B34" s="291" t="s">
        <v>487</v>
      </c>
      <c r="C34" s="363"/>
      <c r="D34" s="363"/>
      <c r="E34" s="363"/>
      <c r="F34" s="363"/>
      <c r="G34" s="363"/>
      <c r="H34" s="363"/>
      <c r="I34" s="363"/>
      <c r="J34" s="363"/>
      <c r="K34" s="363"/>
      <c r="L34" s="359"/>
    </row>
    <row r="35" spans="1:12" ht="16.5">
      <c r="A35" s="28" t="s">
        <v>82</v>
      </c>
      <c r="B35" s="292" t="s">
        <v>485</v>
      </c>
      <c r="C35" s="363"/>
      <c r="D35" s="363"/>
      <c r="E35" s="363"/>
      <c r="F35" s="363"/>
      <c r="G35" s="363"/>
      <c r="H35" s="363"/>
      <c r="I35" s="363"/>
      <c r="J35" s="363"/>
      <c r="K35" s="363"/>
      <c r="L35" s="359"/>
    </row>
    <row r="36" spans="1:12" ht="16.5">
      <c r="A36" s="28" t="s">
        <v>17</v>
      </c>
      <c r="B36" s="291" t="s">
        <v>486</v>
      </c>
      <c r="C36" s="363"/>
      <c r="D36" s="363"/>
      <c r="E36" s="363"/>
      <c r="F36" s="363"/>
      <c r="G36" s="363"/>
      <c r="H36" s="363"/>
      <c r="I36" s="363"/>
      <c r="J36" s="363"/>
      <c r="K36" s="363"/>
      <c r="L36" s="359"/>
    </row>
    <row r="37" spans="1:12" ht="17.25">
      <c r="A37" s="28" t="s">
        <v>90</v>
      </c>
      <c r="B37" s="291" t="s">
        <v>488</v>
      </c>
      <c r="C37" s="363"/>
      <c r="D37" s="363"/>
      <c r="E37" s="363"/>
      <c r="F37" s="363"/>
      <c r="G37" s="363"/>
      <c r="H37" s="363"/>
      <c r="I37" s="363"/>
      <c r="J37" s="363"/>
      <c r="K37" s="363"/>
      <c r="L37" s="359"/>
    </row>
    <row r="38" spans="1:12" ht="12" customHeight="1">
      <c r="A38" s="364"/>
      <c r="B38" s="363"/>
      <c r="C38" s="363"/>
      <c r="D38" s="363"/>
      <c r="E38" s="363"/>
      <c r="F38" s="363"/>
      <c r="G38" s="363"/>
      <c r="H38" s="363"/>
      <c r="I38" s="363"/>
      <c r="J38" s="363"/>
      <c r="K38" s="363"/>
      <c r="L38" s="359"/>
    </row>
    <row r="39" spans="1:12" ht="16.5">
      <c r="A39" s="293" t="s">
        <v>766</v>
      </c>
      <c r="B39" s="291"/>
      <c r="C39" s="363"/>
      <c r="D39" s="363"/>
      <c r="E39" s="363"/>
      <c r="F39" s="363"/>
      <c r="G39" s="363"/>
      <c r="H39" s="363"/>
      <c r="I39" s="363"/>
      <c r="J39" s="363"/>
      <c r="K39" s="363"/>
      <c r="L39" s="359"/>
    </row>
    <row r="40" spans="1:12" ht="32.25" customHeight="1">
      <c r="A40" s="28"/>
      <c r="B40" s="291"/>
      <c r="C40" s="363"/>
      <c r="D40" s="363"/>
      <c r="E40" s="363"/>
      <c r="F40" s="363"/>
      <c r="G40" s="363"/>
      <c r="H40" s="363"/>
      <c r="I40" s="363"/>
      <c r="J40" s="363"/>
      <c r="K40" s="363"/>
      <c r="L40" s="359"/>
    </row>
    <row r="41" spans="1:12" ht="16.5">
      <c r="A41" s="290" t="s">
        <v>15</v>
      </c>
      <c r="B41" s="289"/>
      <c r="C41" s="363"/>
      <c r="D41" s="363"/>
      <c r="E41" s="363"/>
      <c r="F41" s="363"/>
      <c r="G41" s="363"/>
      <c r="H41" s="363"/>
      <c r="I41" s="363"/>
      <c r="J41" s="363"/>
      <c r="K41" s="363"/>
      <c r="L41" s="359"/>
    </row>
    <row r="42" spans="1:12" ht="16.5">
      <c r="A42" s="28" t="s">
        <v>767</v>
      </c>
      <c r="B42" s="291" t="s">
        <v>768</v>
      </c>
      <c r="C42" s="363"/>
      <c r="D42" s="363"/>
      <c r="E42" s="363"/>
      <c r="F42" s="363"/>
      <c r="G42" s="363"/>
      <c r="H42" s="363"/>
      <c r="I42" s="363"/>
      <c r="J42" s="363"/>
      <c r="K42" s="363"/>
      <c r="L42" s="359"/>
    </row>
    <row r="43" spans="1:12" ht="16.5">
      <c r="A43" s="28" t="s">
        <v>769</v>
      </c>
      <c r="B43" s="292" t="s">
        <v>770</v>
      </c>
      <c r="C43" s="363"/>
      <c r="D43" s="363"/>
      <c r="E43" s="363"/>
      <c r="F43" s="363"/>
      <c r="G43" s="363"/>
      <c r="H43" s="363"/>
      <c r="I43" s="363"/>
      <c r="J43" s="363"/>
      <c r="K43" s="363"/>
      <c r="L43" s="359"/>
    </row>
    <row r="44" spans="1:12" ht="16.5">
      <c r="A44" s="28" t="s">
        <v>771</v>
      </c>
      <c r="B44" s="291" t="s">
        <v>772</v>
      </c>
      <c r="C44" s="363"/>
      <c r="D44" s="363"/>
      <c r="E44" s="363"/>
      <c r="F44" s="363"/>
      <c r="G44" s="363"/>
      <c r="H44" s="363"/>
      <c r="I44" s="363"/>
      <c r="J44" s="363"/>
      <c r="K44" s="363"/>
      <c r="L44" s="359"/>
    </row>
    <row r="45" spans="1:12" ht="16.5">
      <c r="A45" s="28" t="s">
        <v>773</v>
      </c>
      <c r="B45" s="291" t="s">
        <v>774</v>
      </c>
      <c r="C45" s="363"/>
      <c r="D45" s="363"/>
      <c r="E45" s="363"/>
      <c r="F45" s="363"/>
      <c r="G45" s="363"/>
      <c r="H45" s="363"/>
      <c r="I45" s="363"/>
      <c r="J45" s="363"/>
      <c r="K45" s="363"/>
      <c r="L45" s="359"/>
    </row>
    <row r="46" spans="1:12" ht="12" customHeight="1">
      <c r="A46" s="364"/>
      <c r="B46" s="363"/>
      <c r="C46" s="363"/>
      <c r="D46" s="363"/>
      <c r="E46" s="363"/>
      <c r="F46" s="363"/>
      <c r="G46" s="363"/>
      <c r="H46" s="363"/>
      <c r="I46" s="363"/>
      <c r="J46" s="363"/>
      <c r="K46" s="363"/>
      <c r="L46" s="359"/>
    </row>
    <row r="47" spans="1:14" ht="18.75" thickBot="1">
      <c r="A47" s="365" t="s">
        <v>662</v>
      </c>
      <c r="B47" s="366"/>
      <c r="C47" s="367"/>
      <c r="D47" s="367"/>
      <c r="E47" s="367"/>
      <c r="F47" s="367"/>
      <c r="G47" s="366"/>
      <c r="H47" s="367"/>
      <c r="I47" s="367"/>
      <c r="J47" s="367"/>
      <c r="K47" s="366"/>
      <c r="L47" s="367"/>
      <c r="M47" s="211"/>
      <c r="N47" s="211"/>
    </row>
    <row r="48" spans="1:14" ht="15" customHeight="1">
      <c r="A48" s="368" t="s">
        <v>663</v>
      </c>
      <c r="B48" s="681" t="s">
        <v>10</v>
      </c>
      <c r="C48" s="682"/>
      <c r="D48" s="682"/>
      <c r="E48" s="682"/>
      <c r="F48" s="683"/>
      <c r="G48" s="684" t="s">
        <v>664</v>
      </c>
      <c r="H48" s="685"/>
      <c r="I48" s="685"/>
      <c r="J48" s="685"/>
      <c r="K48" s="685"/>
      <c r="L48" s="686"/>
      <c r="M48" s="211"/>
      <c r="N48" s="211"/>
    </row>
    <row r="49" spans="1:14" ht="89.25" customHeight="1">
      <c r="A49" s="369" t="s">
        <v>665</v>
      </c>
      <c r="B49" s="687" t="s">
        <v>666</v>
      </c>
      <c r="C49" s="687"/>
      <c r="D49" s="687"/>
      <c r="E49" s="687"/>
      <c r="F49" s="687"/>
      <c r="G49" s="688" t="s">
        <v>667</v>
      </c>
      <c r="H49" s="688"/>
      <c r="I49" s="688"/>
      <c r="J49" s="688"/>
      <c r="K49" s="688"/>
      <c r="L49" s="688"/>
      <c r="M49" s="211"/>
      <c r="N49" s="211"/>
    </row>
    <row r="50" spans="1:14" ht="40.5" customHeight="1">
      <c r="A50" s="370" t="s">
        <v>668</v>
      </c>
      <c r="B50" s="701" t="s">
        <v>669</v>
      </c>
      <c r="C50" s="701"/>
      <c r="D50" s="701"/>
      <c r="E50" s="701"/>
      <c r="F50" s="701"/>
      <c r="G50" s="702" t="s">
        <v>670</v>
      </c>
      <c r="H50" s="702"/>
      <c r="I50" s="702"/>
      <c r="J50" s="702"/>
      <c r="K50" s="702"/>
      <c r="L50" s="702"/>
      <c r="M50" s="371"/>
      <c r="N50" s="371"/>
    </row>
    <row r="51" spans="1:14" ht="56.25" customHeight="1">
      <c r="A51" s="369" t="s">
        <v>671</v>
      </c>
      <c r="B51" s="687" t="s">
        <v>833</v>
      </c>
      <c r="C51" s="687"/>
      <c r="D51" s="687"/>
      <c r="E51" s="687"/>
      <c r="F51" s="687"/>
      <c r="G51" s="688" t="s">
        <v>672</v>
      </c>
      <c r="H51" s="688"/>
      <c r="I51" s="688"/>
      <c r="J51" s="688"/>
      <c r="K51" s="688"/>
      <c r="L51" s="688"/>
      <c r="M51" s="211"/>
      <c r="N51" s="211"/>
    </row>
    <row r="52" spans="1:14" ht="37.5" customHeight="1">
      <c r="A52" s="370" t="s">
        <v>763</v>
      </c>
      <c r="B52" s="701" t="s">
        <v>764</v>
      </c>
      <c r="C52" s="701"/>
      <c r="D52" s="701"/>
      <c r="E52" s="701"/>
      <c r="F52" s="701"/>
      <c r="G52" s="702" t="s">
        <v>765</v>
      </c>
      <c r="H52" s="702"/>
      <c r="I52" s="702"/>
      <c r="J52" s="702"/>
      <c r="K52" s="702"/>
      <c r="L52" s="702"/>
      <c r="M52" s="371"/>
      <c r="N52" s="371"/>
    </row>
    <row r="53" spans="1:14" s="450" customFormat="1" ht="34.5" customHeight="1">
      <c r="A53" s="369" t="s">
        <v>673</v>
      </c>
      <c r="B53" s="689" t="s">
        <v>832</v>
      </c>
      <c r="C53" s="690"/>
      <c r="D53" s="690"/>
      <c r="E53" s="690"/>
      <c r="F53" s="691"/>
      <c r="G53" s="692" t="s">
        <v>674</v>
      </c>
      <c r="H53" s="693"/>
      <c r="I53" s="693"/>
      <c r="J53" s="693"/>
      <c r="K53" s="693"/>
      <c r="L53" s="694"/>
      <c r="M53" s="372"/>
      <c r="N53" s="372"/>
    </row>
    <row r="54" spans="1:14" ht="34.5" customHeight="1">
      <c r="A54" s="370" t="s">
        <v>675</v>
      </c>
      <c r="B54" s="695" t="s">
        <v>676</v>
      </c>
      <c r="C54" s="696"/>
      <c r="D54" s="696"/>
      <c r="E54" s="696"/>
      <c r="F54" s="697"/>
      <c r="G54" s="698" t="s">
        <v>677</v>
      </c>
      <c r="H54" s="699"/>
      <c r="I54" s="699"/>
      <c r="J54" s="699"/>
      <c r="K54" s="699"/>
      <c r="L54" s="700"/>
      <c r="M54" s="372"/>
      <c r="N54" s="372"/>
    </row>
    <row r="55" spans="1:14" s="450" customFormat="1" ht="34.5" customHeight="1">
      <c r="A55" s="369" t="s">
        <v>678</v>
      </c>
      <c r="B55" s="687" t="s">
        <v>679</v>
      </c>
      <c r="C55" s="687"/>
      <c r="D55" s="687"/>
      <c r="E55" s="687"/>
      <c r="F55" s="687"/>
      <c r="G55" s="688" t="s">
        <v>680</v>
      </c>
      <c r="H55" s="688"/>
      <c r="I55" s="688"/>
      <c r="J55" s="688"/>
      <c r="K55" s="688"/>
      <c r="L55" s="688"/>
      <c r="M55" s="372"/>
      <c r="N55" s="372"/>
    </row>
    <row r="56" spans="1:14" ht="34.5" customHeight="1">
      <c r="A56" s="370" t="s">
        <v>681</v>
      </c>
      <c r="B56" s="701" t="s">
        <v>682</v>
      </c>
      <c r="C56" s="701"/>
      <c r="D56" s="701"/>
      <c r="E56" s="701"/>
      <c r="F56" s="701"/>
      <c r="G56" s="702" t="s">
        <v>831</v>
      </c>
      <c r="H56" s="702"/>
      <c r="I56" s="702"/>
      <c r="J56" s="702"/>
      <c r="K56" s="702"/>
      <c r="L56" s="702"/>
      <c r="M56" s="372"/>
      <c r="N56" s="372"/>
    </row>
    <row r="57" spans="1:14" s="450" customFormat="1" ht="34.5" customHeight="1">
      <c r="A57" s="369" t="s">
        <v>683</v>
      </c>
      <c r="B57" s="687" t="s">
        <v>679</v>
      </c>
      <c r="C57" s="687"/>
      <c r="D57" s="687"/>
      <c r="E57" s="687"/>
      <c r="F57" s="687"/>
      <c r="G57" s="688" t="s">
        <v>684</v>
      </c>
      <c r="H57" s="688"/>
      <c r="I57" s="688"/>
      <c r="J57" s="688"/>
      <c r="K57" s="688"/>
      <c r="L57" s="688"/>
      <c r="M57" s="372"/>
      <c r="N57" s="372"/>
    </row>
    <row r="58" spans="1:14" ht="39.75" customHeight="1">
      <c r="A58" s="370" t="s">
        <v>685</v>
      </c>
      <c r="B58" s="701" t="s">
        <v>686</v>
      </c>
      <c r="C58" s="701"/>
      <c r="D58" s="701"/>
      <c r="E58" s="701"/>
      <c r="F58" s="701"/>
      <c r="G58" s="702" t="s">
        <v>687</v>
      </c>
      <c r="H58" s="702"/>
      <c r="I58" s="702"/>
      <c r="J58" s="702"/>
      <c r="K58" s="702"/>
      <c r="L58" s="702"/>
      <c r="M58" s="372"/>
      <c r="N58" s="372"/>
    </row>
    <row r="59" spans="1:14" s="450" customFormat="1" ht="38.25" customHeight="1">
      <c r="A59" s="369" t="s">
        <v>688</v>
      </c>
      <c r="B59" s="687" t="s">
        <v>679</v>
      </c>
      <c r="C59" s="687"/>
      <c r="D59" s="687"/>
      <c r="E59" s="687"/>
      <c r="F59" s="687"/>
      <c r="G59" s="688" t="s">
        <v>689</v>
      </c>
      <c r="H59" s="688"/>
      <c r="I59" s="688"/>
      <c r="J59" s="688"/>
      <c r="K59" s="688"/>
      <c r="L59" s="688"/>
      <c r="M59" s="372"/>
      <c r="N59" s="372"/>
    </row>
    <row r="60" spans="2:14" ht="12" customHeight="1">
      <c r="B60" s="351"/>
      <c r="C60" s="351"/>
      <c r="D60" s="351"/>
      <c r="E60" s="351"/>
      <c r="F60" s="351"/>
      <c r="G60" s="351"/>
      <c r="H60" s="351"/>
      <c r="I60" s="351"/>
      <c r="J60" s="351"/>
      <c r="K60" s="351"/>
      <c r="L60" s="351"/>
      <c r="N60" s="352"/>
    </row>
    <row r="61" spans="1:12" ht="18.75" thickBot="1">
      <c r="A61" s="373" t="s">
        <v>690</v>
      </c>
      <c r="B61" s="374"/>
      <c r="C61" s="374"/>
      <c r="D61" s="374"/>
      <c r="E61" s="374"/>
      <c r="F61" s="374"/>
      <c r="G61" s="374"/>
      <c r="H61" s="374"/>
      <c r="I61" s="374"/>
      <c r="J61" s="374"/>
      <c r="K61" s="375"/>
      <c r="L61" s="375"/>
    </row>
    <row r="62" spans="1:12" ht="16.5">
      <c r="A62" s="703" t="s">
        <v>775</v>
      </c>
      <c r="B62" s="703"/>
      <c r="C62" s="703"/>
      <c r="D62" s="704" t="s">
        <v>778</v>
      </c>
      <c r="E62" s="705"/>
      <c r="F62" s="706"/>
      <c r="G62" s="430">
        <f>IF(Neck_d="","",PI()*(Neck_d/2)^2*Line_w/1000)</f>
      </c>
      <c r="H62" s="430"/>
      <c r="I62" s="431"/>
      <c r="J62" s="431"/>
      <c r="K62" s="431"/>
      <c r="L62" s="432"/>
    </row>
    <row r="63" spans="1:12" ht="16.5">
      <c r="A63" s="676"/>
      <c r="B63" s="676"/>
      <c r="C63" s="676"/>
      <c r="D63" s="722" t="s">
        <v>777</v>
      </c>
      <c r="E63" s="723"/>
      <c r="F63" s="677"/>
      <c r="G63" s="427">
        <f>IF(SG_d="","",PI()*(SG_d/2)^2*Line_w/1000)</f>
      </c>
      <c r="H63" s="427"/>
      <c r="I63" s="376"/>
      <c r="J63" s="376"/>
      <c r="K63" s="376"/>
      <c r="L63" s="377"/>
    </row>
    <row r="64" spans="1:12" s="440" customFormat="1" ht="7.5" customHeight="1">
      <c r="A64" s="672"/>
      <c r="B64" s="672"/>
      <c r="C64" s="672"/>
      <c r="D64" s="673"/>
      <c r="E64" s="674"/>
      <c r="F64" s="675"/>
      <c r="G64" s="437"/>
      <c r="H64" s="437"/>
      <c r="I64" s="438"/>
      <c r="J64" s="438"/>
      <c r="K64" s="438"/>
      <c r="L64" s="439"/>
    </row>
    <row r="65" spans="1:12" ht="16.5">
      <c r="A65" s="676" t="s">
        <v>825</v>
      </c>
      <c r="B65" s="676"/>
      <c r="C65" s="676"/>
      <c r="D65" s="677" t="s">
        <v>827</v>
      </c>
      <c r="E65" s="678"/>
      <c r="F65" s="678"/>
      <c r="G65" s="434">
        <f>IF(OR(option="",option="Option A"),"",(((Obs4_Run1/Obs3_Run1)*(Ms_filled*(1-Pa1/P_Ms_filled)))-((Obs2_Run1/Obs1_Run1)*(Ms_empty*(1-Pa1/(P_Ms_empty+D81)))))*(1/(Pw1-Pa1)))</f>
      </c>
      <c r="H65" s="434"/>
      <c r="I65" s="376"/>
      <c r="J65" s="376"/>
      <c r="K65" s="376"/>
      <c r="L65" s="377"/>
    </row>
    <row r="66" spans="1:12" ht="16.5">
      <c r="A66" s="676"/>
      <c r="B66" s="676"/>
      <c r="C66" s="676"/>
      <c r="D66" s="677" t="s">
        <v>826</v>
      </c>
      <c r="E66" s="678"/>
      <c r="F66" s="678"/>
      <c r="G66" s="434">
        <f>IF(option="","",IF(option="Option A",((Obs3_Run1-Obs2_Run1)*(Ms_filled*(1-Pa1/(P_Ms_filled+D83))/Obs1_Run1))*(1/(Pw1-Pa1)),(((Obs4_Run1/Obs3_Run1)*(Ms_filled*(1-Pa1/(P_Ms_filled+D83))))-((Obs2_Run1/Obs1_Run1)*(Ms_empty*(1-Pa1/P_Ms_empty))))*(1/(Pw1-Pa1))))</f>
      </c>
      <c r="H66" s="434"/>
      <c r="I66" s="376"/>
      <c r="J66" s="376"/>
      <c r="K66" s="376"/>
      <c r="L66" s="377"/>
    </row>
    <row r="67" spans="1:12" s="440" customFormat="1" ht="7.5" customHeight="1">
      <c r="A67" s="672"/>
      <c r="B67" s="672"/>
      <c r="C67" s="672"/>
      <c r="D67" s="674"/>
      <c r="E67" s="674"/>
      <c r="F67" s="675"/>
      <c r="G67" s="724"/>
      <c r="H67" s="724"/>
      <c r="I67" s="438"/>
      <c r="J67" s="438"/>
      <c r="K67" s="438"/>
      <c r="L67" s="439"/>
    </row>
    <row r="68" spans="1:12" ht="16.5">
      <c r="A68" s="707" t="s">
        <v>150</v>
      </c>
      <c r="B68" s="708"/>
      <c r="C68" s="709"/>
      <c r="D68" s="677" t="s">
        <v>691</v>
      </c>
      <c r="E68" s="678"/>
      <c r="F68" s="678"/>
      <c r="G68" s="710">
        <f>IF(option="","",IF(option="Option A",((Obs3_Run1-Obs2_Run1)*(Ms_filled*(1-(Pa1+D85/1000)/P_Ms_filled)/Obs1_Run1))*(1/(Pw1-(Pa1+D85/1000))),(((Obs4_Run1/Obs3_Run1)*(Ms_filled*(1-(Pa1+D85/1000)/P_Ms_filled)))-((Obs2_Run1/Obs1_Run1)*(Ms_empty*(1-(Pa1+D85/1000)/P_Ms_empty))))*(1/(Pw1-(Pa1+D85/1000)))))</f>
      </c>
      <c r="H68" s="710"/>
      <c r="I68" s="376"/>
      <c r="J68" s="376"/>
      <c r="K68" s="376"/>
      <c r="L68" s="377"/>
    </row>
    <row r="69" spans="1:12" ht="16.5">
      <c r="A69" s="707" t="s">
        <v>151</v>
      </c>
      <c r="B69" s="708"/>
      <c r="C69" s="709"/>
      <c r="D69" s="677" t="s">
        <v>692</v>
      </c>
      <c r="E69" s="678"/>
      <c r="F69" s="678"/>
      <c r="G69" s="710">
        <f>IF(option="","",IF(option="Option A",((Obs3_Run1-Obs2_Run1)*(Ms_filled*(1-Pa1/P_Ms_filled)/Obs1_Run1))*(1/((Pw1+D86)-Pa1)),(((Obs4_Run1/Obs3_Run1)*(Ms_filled*(1-Pa1/P_Ms_filled)))-((Obs2_Run1/Obs1_Run1)*(Ms_empty*(1-Pa1/P_Ms_empty))))*(1/((Pw1+D86)-Pa1))))</f>
      </c>
      <c r="H69" s="710"/>
      <c r="I69" s="376"/>
      <c r="J69" s="376"/>
      <c r="K69" s="376"/>
      <c r="L69" s="377"/>
    </row>
    <row r="70" spans="1:12" ht="16.5">
      <c r="A70" s="707" t="s">
        <v>693</v>
      </c>
      <c r="B70" s="708"/>
      <c r="C70" s="709"/>
      <c r="D70" s="677" t="s">
        <v>694</v>
      </c>
      <c r="E70" s="678"/>
      <c r="F70" s="678"/>
      <c r="G70" s="710">
        <f>IF(option="","",ROUND((999.97495*(1-(((tw1+D87)-3.983035)^2*((tw1+D87)+301.797))/(522528.9*((tw1+D87)+69.34881))))/1000+(-4.612+0.106*(tw1+D87))/1000000,8))</f>
      </c>
      <c r="H70" s="710"/>
      <c r="I70" s="376"/>
      <c r="J70" s="376"/>
      <c r="K70" s="376"/>
      <c r="L70" s="377"/>
    </row>
    <row r="71" spans="1:12" ht="16.5">
      <c r="A71" s="707" t="s">
        <v>695</v>
      </c>
      <c r="B71" s="708"/>
      <c r="C71" s="709"/>
      <c r="D71" s="677" t="str">
        <f>IF(RefTempUnit="Reference Temperature (ºF)","Trial 1 V @ "&amp;RefTemp&amp;" "&amp;CHAR(186)&amp;"F =","Trial 1 V @ "&amp;RefTemp&amp;" "&amp;CHAR(186)&amp;"C =")&amp;" (CCE + uCCE) mL ="</f>
        <v>Trial 1 V @  ºC = (CCE + uCCE) mL =</v>
      </c>
      <c r="E71" s="678"/>
      <c r="F71" s="678"/>
      <c r="G71" s="710">
        <f>IF(option="","",IF(RefTempUnit="Reference Temperature (ºF)",Calculations!C27*(1-(a+D88)*(tw1-((RefTemp-32)/1.8))),Calculations!C27*(1-(a+D88)*(tw1-RefTemp))))</f>
      </c>
      <c r="H71" s="710"/>
      <c r="I71" s="376"/>
      <c r="J71" s="376"/>
      <c r="K71" s="376"/>
      <c r="L71" s="377"/>
    </row>
    <row r="72" spans="1:12" s="440" customFormat="1" ht="7.5" customHeight="1">
      <c r="A72" s="713"/>
      <c r="B72" s="714"/>
      <c r="C72" s="715"/>
      <c r="D72" s="441"/>
      <c r="E72" s="438"/>
      <c r="F72" s="438"/>
      <c r="G72" s="438"/>
      <c r="H72" s="438"/>
      <c r="I72" s="438"/>
      <c r="J72" s="438"/>
      <c r="K72" s="438"/>
      <c r="L72" s="439"/>
    </row>
    <row r="73" spans="1:12" ht="16.5">
      <c r="A73" s="707" t="s">
        <v>75</v>
      </c>
      <c r="B73" s="708"/>
      <c r="C73" s="709"/>
      <c r="D73" s="378" t="s">
        <v>696</v>
      </c>
      <c r="E73" s="379">
        <f>IF(option="","",IF(option="option a",AVERAGE(P_1_Astart+P_corr,P_1_Aend+P_corr),AVERAGE(P_1_Bstart+P_corr,P_1_Bend+P_corr)))</f>
      </c>
      <c r="F73" s="712" t="s">
        <v>697</v>
      </c>
      <c r="G73" s="712"/>
      <c r="H73" s="379">
        <f>IF(E73="","",E73-D89)</f>
      </c>
      <c r="I73" s="711" t="s">
        <v>698</v>
      </c>
      <c r="J73" s="711"/>
      <c r="K73" s="710" t="e">
        <f>IF(E73="","",((((H73*(133.322368421053))*(0.02896546))/((1-(((H73*133.322368421053)/(E74+273.15))*((0.00000158123)+((-0.000000029331)*(E74))+(0.00000000011043*E74^2)+(((0.000005707)+(-0.00000002051*E74))*((E75/100)*((1.00062+0.0000000314*(H73*133.322368421053)+0.00000056*E74^2)*((EXP(0.000012378847*(E74+273.15)^2+(-0.019121316*(E74+273.15))+33.93711047+(-6343.1645/(E74+273.15))))/(H73*133.322368421053)))))+((0.00019898+(-0.000002376*E74))*(((E75/100)*((1.00062+0.0000000314*(H73*133.322368421053)+0.00000056*E74^2)*((EXP(0.000012378847*(E74+273.15)^2+(-0.019121316)*(E74+273.15)+33.93711047+(-6343.1645)/(E74+273.15)))/(H73*133.322368421053))))^2))))+(((H73*133.322368421053)^2/((E74+273.15)^2)*(0.0000000000183+(-0.00000000765*(((E75/100)*((1.00062+0.0000000314*(H73*133.322368421053)+0.00000056*E74^2)*((EXP(0.000012378847*(E74+273.15)^2+(-0.019121316)*(E74+273.15)+33.93711047+(-6343.1645)/(E74+273.15)))/(H73*133.322368421053))))^2))))))*(8.314472)*(E74+273.15)))*(1-((0.378*((E75/100)*((1.00062+0.0000000314*(H73*133.322368421053)+0.00000056*E74^2)*((EXP(0.000012378847*(E74+273.15)^2+(-0.019121316)*(E74+273.15)+33.93711047+(-6343.1645)/(E74+273.15)))/(H73*133.322368421053)))))))))/1000</f>
        <v>#VALUE!</v>
      </c>
      <c r="L73" s="716"/>
    </row>
    <row r="74" spans="1:12" ht="16.5">
      <c r="A74" s="707" t="s">
        <v>699</v>
      </c>
      <c r="B74" s="708"/>
      <c r="C74" s="709"/>
      <c r="D74" s="378" t="s">
        <v>700</v>
      </c>
      <c r="E74" s="379">
        <f>IF(option="","",IF(option="option a",AVERAGE(t_air1_Astart+t_air_corr,t_air1_Aend+t_air_corr),AVERAGE(t_air1_Bstart+t_air_corr,t_air1_Bend+t_air_corr)))</f>
      </c>
      <c r="F74" s="712" t="s">
        <v>701</v>
      </c>
      <c r="G74" s="712"/>
      <c r="H74" s="379">
        <f>IF(E74="","",E74-D90)</f>
      </c>
      <c r="I74" s="711" t="s">
        <v>702</v>
      </c>
      <c r="J74" s="711"/>
      <c r="K74" s="710" t="e">
        <f>IF(E74="","",((((E73*(133.322368421053))*(0.02896546))/((1-(((E73*133.322368421053)/(H74+273.15))*((0.00000158123)+((-0.000000029331)*(H74))+(0.00000000011043*H74^2)+(((0.000005707)+(-0.00000002051*H74))*((E75/100)*((1.00062+0.0000000314*(E73*133.322368421053)+0.00000056*H74^2)*((EXP(0.000012378847*(H74+273.15)^2+(-0.019121316*(H74+273.15))+33.93711047+(-6343.1645/(H74+273.15))))/(E73*133.322368421053)))))+((0.00019898+(-0.000002376*H74))*(((E75/100)*((1.00062+0.0000000314*(E73*133.322368421053)+0.00000056*H74^2)*((EXP(0.000012378847*(H74+273.15)^2+(-0.019121316)*(H74+273.15)+33.93711047+(-6343.1645)/(H74+273.15)))/(E73*133.322368421053))))^2))))+(((E73*133.322368421053)^2/((H74+273.15)^2)*(0.0000000000183+(-0.00000000765*(((E75/100)*((1.00062+0.0000000314*(E73*133.322368421053)+0.00000056*H74^2)*((EXP(0.000012378847*(H74+273.15)^2+(-0.019121316)*(H74+273.15)+33.93711047+(-6343.1645)/(H74+273.15)))/(E73*133.322368421053))))^2))))))*(8.314472)*(H74+273.15)))*(1-((0.378*((E75/100)*((1.00062+0.0000000314*(E73*133.322368421053)+0.00000056*H74^2)*((EXP(0.000012378847*(H74+273.15)^2+(-0.019121316)*(H74+273.15)+33.93711047+(-6343.1645)/(H74+273.15)))/(E73*133.322368421053)))))))))/1000</f>
        <v>#VALUE!</v>
      </c>
      <c r="L74" s="716"/>
    </row>
    <row r="75" spans="1:12" ht="16.5">
      <c r="A75" s="707" t="s">
        <v>703</v>
      </c>
      <c r="B75" s="708"/>
      <c r="C75" s="709"/>
      <c r="D75" s="378" t="s">
        <v>704</v>
      </c>
      <c r="E75" s="425">
        <f>IF(option="","",IF(option="option a",AVERAGE(U_1_Astart+rh_corr,U_1_Aend+rh_corr),AVERAGE(U_1_Bstart+rh_corr,U_1_Bend+rh_corr)))</f>
      </c>
      <c r="F75" s="721" t="s">
        <v>757</v>
      </c>
      <c r="G75" s="721"/>
      <c r="H75" s="425">
        <f>IF(E75="","",E75-D91)</f>
      </c>
      <c r="I75" s="678" t="s">
        <v>705</v>
      </c>
      <c r="J75" s="678"/>
      <c r="K75" s="710" t="e">
        <f>IF(E75="","",((((E73*(133.322368421053))*(0.02896546))/((1-(((E73*133.322368421053)/(E74+273.15))*((0.00000158123)+((-0.000000029331)*(E74))+(0.00000000011043*E74^2)+(((0.000005707)+(-0.00000002051*E74))*((H75/100)*((1.00062+0.0000000314*(E73*133.322368421053)+0.00000056*E74^2)*((EXP(0.000012378847*(E74+273.15)^2+(-0.019121316*(E74+273.15))+33.93711047+(-6343.1645/(E74+273.15))))/(E73*133.322368421053)))))+((0.00019898+(-0.000002376*E74))*(((H75/100)*((1.00062+0.0000000314*(E73*133.322368421053)+0.00000056*E74^2)*((EXP(0.000012378847*(E74+273.15)^2+(-0.019121316)*(E74+273.15)+33.93711047+(-6343.1645)/(E74+273.15)))/(E73*133.322368421053))))^2))))+(((E73*133.322368421053)^2/((E74+273.15)^2)*(0.0000000000183+(-0.00000000765*(((H75/100)*((1.00062+0.0000000314*(E73*133.322368421053)+0.00000056*E74^2)*((EXP(0.000012378847*(E74+273.15)^2+(-0.019121316)*(E74+273.15)+33.93711047+(-6343.1645)/(E74+273.15)))/(E73*133.322368421053))))^2))))))*(8.314472)*(E74+273.15)))*(1-((0.378*((H75/100)*((1.00062+0.0000000314*(E73*133.322368421053)+0.00000056*E74^2)*((EXP(0.000012378847*(E74+273.15)^2+(-0.019121316)*(E74+273.15)+33.93711047+(-6343.1645)/(E74+273.15)))/(E73*133.322368421053)))))))))/1000</f>
        <v>#VALUE!</v>
      </c>
      <c r="L75" s="716"/>
    </row>
    <row r="76" spans="1:8" ht="12" customHeight="1">
      <c r="A76" s="380"/>
      <c r="B76" s="380"/>
      <c r="C76" s="380"/>
      <c r="D76" s="380"/>
      <c r="E76" s="380"/>
      <c r="F76" s="380"/>
      <c r="G76" s="380"/>
      <c r="H76" s="380"/>
    </row>
    <row r="77" spans="1:14" ht="18.75" thickBot="1">
      <c r="A77" s="381" t="s">
        <v>706</v>
      </c>
      <c r="B77" s="345"/>
      <c r="C77" s="345"/>
      <c r="D77" s="345"/>
      <c r="E77" s="345"/>
      <c r="F77" s="345"/>
      <c r="G77" s="345"/>
      <c r="H77" s="345"/>
      <c r="I77" s="345"/>
      <c r="J77" s="345"/>
      <c r="K77" s="345"/>
      <c r="L77" s="345"/>
      <c r="N77" s="382"/>
    </row>
    <row r="78" spans="1:14" ht="49.5">
      <c r="A78" s="725" t="s">
        <v>707</v>
      </c>
      <c r="B78" s="726"/>
      <c r="C78" s="383" t="s">
        <v>708</v>
      </c>
      <c r="D78" s="383" t="s">
        <v>709</v>
      </c>
      <c r="E78" s="383" t="s">
        <v>710</v>
      </c>
      <c r="F78" s="384" t="s">
        <v>711</v>
      </c>
      <c r="G78" s="385" t="s">
        <v>12</v>
      </c>
      <c r="H78" s="386" t="s">
        <v>23</v>
      </c>
      <c r="I78" s="387" t="s">
        <v>712</v>
      </c>
      <c r="J78" s="388" t="s">
        <v>713</v>
      </c>
      <c r="K78" s="389" t="s">
        <v>714</v>
      </c>
      <c r="L78" s="390" t="s">
        <v>475</v>
      </c>
      <c r="N78" s="382"/>
    </row>
    <row r="79" spans="1:14" ht="16.5">
      <c r="A79" s="717" t="s">
        <v>715</v>
      </c>
      <c r="B79" s="718"/>
      <c r="C79" s="391" t="str">
        <f>A49</f>
        <v>s(p)</v>
      </c>
      <c r="D79" s="391">
        <f>IF(PooledSD="",0,PooledSD)</f>
        <v>0</v>
      </c>
      <c r="E79" s="391" t="s">
        <v>19</v>
      </c>
      <c r="F79" s="392">
        <f>D79</f>
        <v>0</v>
      </c>
      <c r="G79" s="393" t="s">
        <v>14</v>
      </c>
      <c r="H79" s="394" t="s">
        <v>152</v>
      </c>
      <c r="I79" s="395">
        <v>1</v>
      </c>
      <c r="J79" s="396">
        <f aca="true" t="shared" si="0" ref="J79:J91">F79/I79</f>
        <v>0</v>
      </c>
      <c r="K79" s="397">
        <f aca="true" t="shared" si="1" ref="K79:K91">IF($K$92="","",J79^2/$K$92^2)</f>
      </c>
      <c r="L79" s="398">
        <f>IF(J79=0,1,df)</f>
        <v>1</v>
      </c>
      <c r="N79" s="382"/>
    </row>
    <row r="80" spans="1:14" ht="19.5">
      <c r="A80" s="719" t="s">
        <v>716</v>
      </c>
      <c r="B80" s="720"/>
      <c r="C80" s="435" t="s">
        <v>856</v>
      </c>
      <c r="D80" s="391">
        <f>IF(OR(option="",option="Option A"),0,U_Ms_empty/1000)</f>
        <v>0</v>
      </c>
      <c r="E80" s="391" t="s">
        <v>1</v>
      </c>
      <c r="F80" s="392">
        <f>D80*1.003</f>
        <v>0</v>
      </c>
      <c r="G80" s="399" t="s">
        <v>13</v>
      </c>
      <c r="H80" s="400" t="s">
        <v>152</v>
      </c>
      <c r="I80" s="401">
        <v>1</v>
      </c>
      <c r="J80" s="396">
        <f t="shared" si="0"/>
        <v>0</v>
      </c>
      <c r="K80" s="397">
        <f t="shared" si="1"/>
      </c>
      <c r="L80" s="398">
        <f>IF(J80=0,1,df_Ms_empty)</f>
        <v>1</v>
      </c>
      <c r="N80" s="382"/>
    </row>
    <row r="81" spans="1:14" ht="19.5">
      <c r="A81" s="719" t="s">
        <v>717</v>
      </c>
      <c r="B81" s="720"/>
      <c r="C81" s="435" t="s">
        <v>857</v>
      </c>
      <c r="D81" s="391">
        <f>IF(OR(option="",option="Option A"),0,U_P_Ms_empty)</f>
        <v>0</v>
      </c>
      <c r="E81" s="391" t="s">
        <v>91</v>
      </c>
      <c r="F81" s="402">
        <f>IF(D81=0,0,ABS(Calculations!C27-G65))</f>
        <v>0</v>
      </c>
      <c r="G81" s="399" t="s">
        <v>13</v>
      </c>
      <c r="H81" s="400" t="s">
        <v>577</v>
      </c>
      <c r="I81" s="401">
        <f>SQRT(3)</f>
        <v>1.7320508075688772</v>
      </c>
      <c r="J81" s="396">
        <f t="shared" si="0"/>
        <v>0</v>
      </c>
      <c r="K81" s="397">
        <f t="shared" si="1"/>
      </c>
      <c r="L81" s="398">
        <f>IF(J81=0,1,df_Ms_empty)</f>
        <v>1</v>
      </c>
      <c r="N81" s="382"/>
    </row>
    <row r="82" spans="1:14" ht="19.5">
      <c r="A82" s="719" t="s">
        <v>718</v>
      </c>
      <c r="B82" s="720"/>
      <c r="C82" s="435" t="s">
        <v>858</v>
      </c>
      <c r="D82" s="391">
        <f>IF(option="",0,U_Ms_filled/1000)</f>
        <v>0</v>
      </c>
      <c r="E82" s="391" t="s">
        <v>1</v>
      </c>
      <c r="F82" s="392">
        <f>D82*1.003</f>
        <v>0</v>
      </c>
      <c r="G82" s="399" t="s">
        <v>13</v>
      </c>
      <c r="H82" s="400" t="s">
        <v>152</v>
      </c>
      <c r="I82" s="401">
        <v>1</v>
      </c>
      <c r="J82" s="396">
        <f>F82/I82</f>
        <v>0</v>
      </c>
      <c r="K82" s="397">
        <f t="shared" si="1"/>
      </c>
      <c r="L82" s="398">
        <f>IF(J82=0,1,df_Ms_filled)</f>
        <v>1</v>
      </c>
      <c r="N82" s="382"/>
    </row>
    <row r="83" spans="1:14" ht="19.5">
      <c r="A83" s="719" t="s">
        <v>719</v>
      </c>
      <c r="B83" s="720"/>
      <c r="C83" s="435" t="s">
        <v>859</v>
      </c>
      <c r="D83" s="391">
        <f>IF(option="",0,U_P_Ms_filled)</f>
        <v>0</v>
      </c>
      <c r="E83" s="391" t="s">
        <v>91</v>
      </c>
      <c r="F83" s="402">
        <f>IF(D83=0,0,ABS(Calculations!C27-G66))</f>
        <v>0</v>
      </c>
      <c r="G83" s="399" t="s">
        <v>13</v>
      </c>
      <c r="H83" s="400" t="s">
        <v>577</v>
      </c>
      <c r="I83" s="401">
        <f>SQRT(3)</f>
        <v>1.7320508075688772</v>
      </c>
      <c r="J83" s="396">
        <f>F83/I83</f>
        <v>0</v>
      </c>
      <c r="K83" s="397">
        <f t="shared" si="1"/>
      </c>
      <c r="L83" s="398">
        <f>IF(J83=0,1,df_Ms_filled)</f>
        <v>1</v>
      </c>
      <c r="N83" s="382"/>
    </row>
    <row r="84" spans="1:14" ht="16.5">
      <c r="A84" s="719" t="s">
        <v>775</v>
      </c>
      <c r="B84" s="720"/>
      <c r="C84" s="391" t="str">
        <f>A52</f>
        <v>u(m)</v>
      </c>
      <c r="D84" s="391">
        <f>IF(option="",0,SUM(G62:G63))</f>
        <v>0</v>
      </c>
      <c r="E84" s="391" t="s">
        <v>19</v>
      </c>
      <c r="F84" s="392">
        <f>D84</f>
        <v>0</v>
      </c>
      <c r="G84" s="399" t="s">
        <v>13</v>
      </c>
      <c r="H84" s="400" t="s">
        <v>776</v>
      </c>
      <c r="I84" s="401">
        <f>SQRT(6)</f>
        <v>2.449489742783178</v>
      </c>
      <c r="J84" s="396">
        <f>F84/I84</f>
        <v>0</v>
      </c>
      <c r="K84" s="397">
        <f t="shared" si="1"/>
      </c>
      <c r="L84" s="398">
        <f aca="true" t="shared" si="2" ref="L84:L91">IF(J84=0,1,10000)</f>
        <v>1</v>
      </c>
      <c r="N84" s="382"/>
    </row>
    <row r="85" spans="1:14" ht="16.5">
      <c r="A85" s="719" t="s">
        <v>150</v>
      </c>
      <c r="B85" s="720"/>
      <c r="C85" s="391" t="str">
        <f aca="true" t="shared" si="3" ref="C85:C91">A53</f>
        <v>u(ρa)</v>
      </c>
      <c r="D85" s="391">
        <f>IF(Pa1="",0,0.000022*AVERAGE(Pa1,Pa2)*1000)</f>
        <v>0</v>
      </c>
      <c r="E85" s="391" t="s">
        <v>720</v>
      </c>
      <c r="F85" s="402">
        <f>IF(D85=0,0,ABS(Calculations!C27-G68))</f>
        <v>0</v>
      </c>
      <c r="G85" s="399" t="s">
        <v>13</v>
      </c>
      <c r="H85" s="400" t="s">
        <v>577</v>
      </c>
      <c r="I85" s="401">
        <f>SQRT(3)</f>
        <v>1.7320508075688772</v>
      </c>
      <c r="J85" s="396">
        <f t="shared" si="0"/>
        <v>0</v>
      </c>
      <c r="K85" s="397">
        <f t="shared" si="1"/>
      </c>
      <c r="L85" s="398">
        <f t="shared" si="2"/>
        <v>1</v>
      </c>
      <c r="N85" s="382"/>
    </row>
    <row r="86" spans="1:14" ht="16.5">
      <c r="A86" s="719" t="s">
        <v>151</v>
      </c>
      <c r="B86" s="720"/>
      <c r="C86" s="391" t="str">
        <f t="shared" si="3"/>
        <v>u(ρw)</v>
      </c>
      <c r="D86" s="391">
        <f>IF(tw1="",0,0.00000088)</f>
        <v>0</v>
      </c>
      <c r="E86" s="391" t="s">
        <v>91</v>
      </c>
      <c r="F86" s="402">
        <f>IF(D86=0,0,ABS(Calculations!C27-G69))</f>
        <v>0</v>
      </c>
      <c r="G86" s="399" t="s">
        <v>13</v>
      </c>
      <c r="H86" s="400" t="s">
        <v>577</v>
      </c>
      <c r="I86" s="401">
        <f aca="true" t="shared" si="4" ref="I86:I91">SQRT(3)</f>
        <v>1.7320508075688772</v>
      </c>
      <c r="J86" s="396">
        <f t="shared" si="0"/>
        <v>0</v>
      </c>
      <c r="K86" s="397">
        <f t="shared" si="1"/>
      </c>
      <c r="L86" s="398">
        <f t="shared" si="2"/>
        <v>1</v>
      </c>
      <c r="N86" s="382"/>
    </row>
    <row r="87" spans="1:12" ht="16.5">
      <c r="A87" s="719" t="s">
        <v>693</v>
      </c>
      <c r="B87" s="720"/>
      <c r="C87" s="391" t="str">
        <f t="shared" si="3"/>
        <v>u(tw)</v>
      </c>
      <c r="D87" s="391">
        <f>IF(U_t_w="",0,U_t_w/U_t_w_k)</f>
        <v>0</v>
      </c>
      <c r="E87" s="391" t="s">
        <v>72</v>
      </c>
      <c r="F87" s="402">
        <f>IF(D87=0,0,ABS(Calculations!C27-IF(option="","",IF(option="Option A",((Obs3_Run1-Obs2_Run1)*(Ms_filled*(1-Pa1/P_Ms_filled)/Obs1_Run1))*(1/(G70-Pa1)),(((Obs4_Run1/Obs3_Run1)*(Ms_filled*(1-Pa1/P_Ms_filled)))-((Obs2_Run1/Obs1_Run1)*(Ms_empty*(1-Pa1/P_Ms_empty))))*(1/(G70-Pa1))))))</f>
        <v>0</v>
      </c>
      <c r="G87" s="399" t="s">
        <v>13</v>
      </c>
      <c r="H87" s="400" t="s">
        <v>577</v>
      </c>
      <c r="I87" s="401">
        <f t="shared" si="4"/>
        <v>1.7320508075688772</v>
      </c>
      <c r="J87" s="396">
        <f t="shared" si="0"/>
        <v>0</v>
      </c>
      <c r="K87" s="397">
        <f t="shared" si="1"/>
      </c>
      <c r="L87" s="398">
        <f t="shared" si="2"/>
        <v>1</v>
      </c>
    </row>
    <row r="88" spans="1:12" ht="16.5">
      <c r="A88" s="719" t="s">
        <v>695</v>
      </c>
      <c r="B88" s="720"/>
      <c r="C88" s="391" t="str">
        <f t="shared" si="3"/>
        <v>u(CCE)</v>
      </c>
      <c r="D88" s="391">
        <f>IF(a="",0,a*5%)</f>
        <v>0</v>
      </c>
      <c r="E88" s="391" t="s">
        <v>95</v>
      </c>
      <c r="F88" s="402">
        <f>IF(D88=0,0,ABS(Calculations!C29-G71))</f>
        <v>0</v>
      </c>
      <c r="G88" s="399" t="s">
        <v>13</v>
      </c>
      <c r="H88" s="400" t="s">
        <v>577</v>
      </c>
      <c r="I88" s="401">
        <f t="shared" si="4"/>
        <v>1.7320508075688772</v>
      </c>
      <c r="J88" s="396">
        <f t="shared" si="0"/>
        <v>0</v>
      </c>
      <c r="K88" s="397">
        <f t="shared" si="1"/>
      </c>
      <c r="L88" s="398">
        <f t="shared" si="2"/>
        <v>1</v>
      </c>
    </row>
    <row r="89" spans="1:12" ht="16.5">
      <c r="A89" s="719" t="s">
        <v>75</v>
      </c>
      <c r="B89" s="720"/>
      <c r="C89" s="391" t="str">
        <f t="shared" si="3"/>
        <v>u(P)</v>
      </c>
      <c r="D89" s="391">
        <f>IF(U_P="",0,U_P/U_P_k)</f>
        <v>0</v>
      </c>
      <c r="E89" s="391" t="s">
        <v>472</v>
      </c>
      <c r="F89" s="402">
        <f>IF(D89=0,0,ABS(Calculations!C27-IF(option="","",IF(option="Option A",((Obs3_Run1-Obs2_Run1)*(Ms_filled*(1-K73/P_Ms_filled)/Obs1_Run1))*(1/(Pw1-K73)),(((Obs4_Run1/Obs3_Run1)*(Ms_filled*(1-K73/P_Ms_filled)))-((Obs2_Run1/Obs1_Run1)*(Ms_empty*(1-K73/P_Ms_empty))))*(1/(Pw1-K73))))))</f>
        <v>0</v>
      </c>
      <c r="G89" s="399" t="s">
        <v>13</v>
      </c>
      <c r="H89" s="400" t="s">
        <v>577</v>
      </c>
      <c r="I89" s="401">
        <f t="shared" si="4"/>
        <v>1.7320508075688772</v>
      </c>
      <c r="J89" s="396">
        <f t="shared" si="0"/>
        <v>0</v>
      </c>
      <c r="K89" s="397">
        <f t="shared" si="1"/>
      </c>
      <c r="L89" s="398">
        <f t="shared" si="2"/>
        <v>1</v>
      </c>
    </row>
    <row r="90" spans="1:12" ht="16.5">
      <c r="A90" s="719" t="s">
        <v>699</v>
      </c>
      <c r="B90" s="720"/>
      <c r="C90" s="391" t="str">
        <f t="shared" si="3"/>
        <v>u(t)</v>
      </c>
      <c r="D90" s="391">
        <f>IF(U_t="",0,U_t/U_t_a_k)</f>
        <v>0</v>
      </c>
      <c r="E90" s="391" t="s">
        <v>72</v>
      </c>
      <c r="F90" s="402">
        <f>IF(D90=0,0,ABS(Calculations!C27-IF(option="","",IF(option="Option A",((Obs3_Run1-Obs2_Run1)*(Ms_filled*(1-K74/P_Ms_filled)/Obs1_Run1))*(1/(Pw1-K74)),(((Obs4_Run1/Obs3_Run1)*(Ms_filled*(1-K74/P_Ms_filled)))-((Obs2_Run1/Obs1_Run1)*(Ms_empty*(1-K74/P_Ms_empty))))*(1/(Pw1-K74))))))</f>
        <v>0</v>
      </c>
      <c r="G90" s="399" t="s">
        <v>13</v>
      </c>
      <c r="H90" s="400" t="s">
        <v>577</v>
      </c>
      <c r="I90" s="401">
        <f t="shared" si="4"/>
        <v>1.7320508075688772</v>
      </c>
      <c r="J90" s="396">
        <f>F90/I90</f>
        <v>0</v>
      </c>
      <c r="K90" s="397">
        <f t="shared" si="1"/>
      </c>
      <c r="L90" s="398">
        <f t="shared" si="2"/>
        <v>1</v>
      </c>
    </row>
    <row r="91" spans="1:14" ht="16.5">
      <c r="A91" s="719" t="s">
        <v>703</v>
      </c>
      <c r="B91" s="720"/>
      <c r="C91" s="391" t="str">
        <f t="shared" si="3"/>
        <v>u(RH)</v>
      </c>
      <c r="D91" s="391">
        <f>IF(U_rh="",0,U_rh/U_rh_k)</f>
        <v>0</v>
      </c>
      <c r="E91" s="391" t="s">
        <v>473</v>
      </c>
      <c r="F91" s="402">
        <f>IF(D91=0,0,ABS(Calculations!C27-IF(option="","",IF(option="Option A",((Obs3_Run1-Obs2_Run1)*(Ms_filled*(1-K75/P_Ms_filled)/Obs1_Run1))*(1/(Pw1-K75)),(((Obs4_Run1/Obs3_Run1)*(Ms_filled*(1-K75/P_Ms_filled)))-((Obs2_Run1/Obs1_Run1)*(Ms_empty*(1-K75/P_Ms_empty))))*(1/(Pw1-K75))))))</f>
        <v>0</v>
      </c>
      <c r="G91" s="399" t="s">
        <v>13</v>
      </c>
      <c r="H91" s="400" t="s">
        <v>577</v>
      </c>
      <c r="I91" s="401">
        <f t="shared" si="4"/>
        <v>1.7320508075688772</v>
      </c>
      <c r="J91" s="396">
        <f t="shared" si="0"/>
        <v>0</v>
      </c>
      <c r="K91" s="397">
        <f t="shared" si="1"/>
      </c>
      <c r="L91" s="398">
        <f t="shared" si="2"/>
        <v>1</v>
      </c>
      <c r="N91" s="382"/>
    </row>
    <row r="92" spans="1:14" ht="19.5">
      <c r="A92" s="403"/>
      <c r="B92" s="404"/>
      <c r="C92" s="404"/>
      <c r="D92" s="404"/>
      <c r="E92" s="404"/>
      <c r="F92" s="404"/>
      <c r="G92" s="404"/>
      <c r="H92" s="404"/>
      <c r="I92" s="404"/>
      <c r="J92" s="405" t="s">
        <v>578</v>
      </c>
      <c r="K92" s="406">
        <f>IF(SUM(J79:J91)=0,"",SQRT(SUMSQ(J79:J91)))</f>
      </c>
      <c r="L92" s="407" t="s">
        <v>19</v>
      </c>
      <c r="N92" s="408"/>
    </row>
    <row r="93" spans="1:14" ht="19.5">
      <c r="A93" s="409"/>
      <c r="B93" s="404"/>
      <c r="C93" s="404"/>
      <c r="D93" s="404"/>
      <c r="E93" s="404"/>
      <c r="F93" s="404"/>
      <c r="G93" s="404"/>
      <c r="H93" s="404"/>
      <c r="I93" s="404"/>
      <c r="J93" s="405" t="s">
        <v>579</v>
      </c>
      <c r="K93" s="406">
        <f>IF(MAX(L79:L91)=1,"",ROUNDDOWN(K92^4/((J79^4/L79)+(J80^4/L80)+(J81^4/L81)+(J82^4/L82)+(J83^4/L83)+(J84^4/L84)+(J85^4/L85)+(J86^4/L86)+(J87^4/L87)+(J88^4/L88)+(J89^4/L89)+(J90^4/L90)+(J91^4/L91)),0))</f>
      </c>
      <c r="L93" s="407"/>
      <c r="N93" s="408"/>
    </row>
    <row r="94" spans="1:14" ht="16.5">
      <c r="A94" s="403"/>
      <c r="B94" s="404"/>
      <c r="C94" s="404"/>
      <c r="D94" s="404"/>
      <c r="E94" s="404"/>
      <c r="F94" s="404"/>
      <c r="G94" s="404"/>
      <c r="H94" s="404"/>
      <c r="I94" s="404"/>
      <c r="J94" s="405" t="s">
        <v>479</v>
      </c>
      <c r="K94" s="406">
        <f>IF(Veff="","",ROUND(TINV(0.0455,Veff),3))</f>
      </c>
      <c r="L94" s="407"/>
      <c r="N94" s="408"/>
    </row>
    <row r="95" spans="1:14" ht="19.5">
      <c r="A95" s="403"/>
      <c r="B95" s="404"/>
      <c r="C95" s="404"/>
      <c r="D95" s="404"/>
      <c r="E95" s="404"/>
      <c r="F95" s="404"/>
      <c r="G95" s="404"/>
      <c r="H95" s="404"/>
      <c r="I95" s="404"/>
      <c r="J95" s="405" t="s">
        <v>580</v>
      </c>
      <c r="K95" s="406">
        <f>IF(k="","",k*K92)</f>
      </c>
      <c r="L95" s="407" t="s">
        <v>19</v>
      </c>
      <c r="N95" s="382"/>
    </row>
    <row r="96" spans="1:14" ht="16.5">
      <c r="A96" s="410"/>
      <c r="B96" s="411"/>
      <c r="C96" s="411"/>
      <c r="D96" s="411"/>
      <c r="E96" s="411"/>
      <c r="F96" s="411"/>
      <c r="G96" s="411"/>
      <c r="H96" s="411"/>
      <c r="I96" s="411"/>
      <c r="J96" s="412" t="s">
        <v>863</v>
      </c>
      <c r="K96" s="413">
        <f>IF(G87="","",IF(BestU="",0,BestUdf))</f>
        <v>0</v>
      </c>
      <c r="L96" s="414"/>
      <c r="N96" s="382"/>
    </row>
    <row r="97" spans="1:14" ht="16.5">
      <c r="A97" s="410"/>
      <c r="B97" s="411"/>
      <c r="C97" s="411"/>
      <c r="D97" s="411"/>
      <c r="E97" s="411"/>
      <c r="F97" s="411"/>
      <c r="G97" s="411"/>
      <c r="H97" s="411"/>
      <c r="I97" s="411"/>
      <c r="J97" s="412" t="s">
        <v>864</v>
      </c>
      <c r="K97" s="413">
        <f>IF(G87="","",IF(BestU="",0,BestUk))</f>
        <v>0</v>
      </c>
      <c r="L97" s="414"/>
      <c r="N97" s="382"/>
    </row>
    <row r="98" spans="1:14" ht="16.5">
      <c r="A98" s="410"/>
      <c r="B98" s="411"/>
      <c r="C98" s="411"/>
      <c r="D98" s="411"/>
      <c r="E98" s="411"/>
      <c r="F98" s="411"/>
      <c r="G98" s="411"/>
      <c r="H98" s="411"/>
      <c r="I98" s="411"/>
      <c r="J98" s="412" t="s">
        <v>865</v>
      </c>
      <c r="K98" s="413">
        <f>IF(G87="","",IF(BestU="",0,BestU))</f>
        <v>0</v>
      </c>
      <c r="L98" s="414" t="s">
        <v>19</v>
      </c>
      <c r="N98" s="382"/>
    </row>
    <row r="99" spans="1:14" ht="16.5">
      <c r="A99" s="451"/>
      <c r="B99" s="452"/>
      <c r="C99" s="452"/>
      <c r="D99" s="452"/>
      <c r="E99" s="452"/>
      <c r="F99" s="452"/>
      <c r="G99" s="452"/>
      <c r="H99" s="452"/>
      <c r="I99" s="452"/>
      <c r="J99" s="453" t="s">
        <v>721</v>
      </c>
      <c r="K99" s="454">
        <f>IF(BestU="",Veff,IF(MeasuredU&gt;BestU,Veff,BestUdf))</f>
      </c>
      <c r="L99" s="455"/>
      <c r="N99" s="382"/>
    </row>
    <row r="100" spans="1:14" ht="16.5">
      <c r="A100" s="451"/>
      <c r="B100" s="452"/>
      <c r="C100" s="452"/>
      <c r="D100" s="452"/>
      <c r="E100" s="452"/>
      <c r="F100" s="452"/>
      <c r="G100" s="452"/>
      <c r="H100" s="452"/>
      <c r="I100" s="452"/>
      <c r="J100" s="453" t="s">
        <v>581</v>
      </c>
      <c r="K100" s="454">
        <f>IF(BestU="",k,IF(MeasuredU&gt;BestU,k,BestUk))</f>
      </c>
      <c r="L100" s="455"/>
      <c r="N100" s="382"/>
    </row>
    <row r="101" spans="1:14" ht="19.5">
      <c r="A101" s="451"/>
      <c r="B101" s="452"/>
      <c r="C101" s="452"/>
      <c r="D101" s="452"/>
      <c r="E101" s="452"/>
      <c r="F101" s="452"/>
      <c r="G101" s="452"/>
      <c r="H101" s="452"/>
      <c r="I101" s="452"/>
      <c r="J101" s="453" t="s">
        <v>582</v>
      </c>
      <c r="K101" s="454">
        <f>IF(BestU="",k,IF(MeasuredU&gt;BestU,MeasuredU,BestU))</f>
      </c>
      <c r="L101" s="455" t="s">
        <v>19</v>
      </c>
      <c r="N101" s="382"/>
    </row>
    <row r="102" spans="2:14" ht="12" customHeight="1">
      <c r="B102" s="351"/>
      <c r="C102" s="351"/>
      <c r="D102" s="351"/>
      <c r="E102" s="351"/>
      <c r="F102" s="351"/>
      <c r="G102" s="351"/>
      <c r="H102" s="351"/>
      <c r="I102" s="351"/>
      <c r="J102" s="351"/>
      <c r="K102" s="351"/>
      <c r="L102" s="351"/>
      <c r="N102" s="352"/>
    </row>
    <row r="103" spans="1:14" ht="15">
      <c r="A103" s="415"/>
      <c r="B103" s="415"/>
      <c r="C103" s="415"/>
      <c r="D103" s="415"/>
      <c r="E103" s="415"/>
      <c r="F103" s="415"/>
      <c r="G103" s="415"/>
      <c r="H103" s="415"/>
      <c r="I103" s="415"/>
      <c r="J103" s="415"/>
      <c r="K103" s="415"/>
      <c r="L103" s="352"/>
      <c r="M103" s="352"/>
      <c r="N103" s="352"/>
    </row>
    <row r="104" spans="1:14" ht="15">
      <c r="A104" s="415"/>
      <c r="B104" s="415"/>
      <c r="C104" s="415"/>
      <c r="D104" s="415"/>
      <c r="E104" s="415"/>
      <c r="F104" s="415"/>
      <c r="G104" s="415"/>
      <c r="H104" s="415"/>
      <c r="I104" s="415"/>
      <c r="J104" s="415"/>
      <c r="K104" s="415"/>
      <c r="L104" s="352"/>
      <c r="M104" s="352"/>
      <c r="N104" s="352"/>
    </row>
    <row r="105" spans="1:14" ht="15">
      <c r="A105" s="415"/>
      <c r="B105" s="415"/>
      <c r="C105" s="415"/>
      <c r="D105" s="415"/>
      <c r="E105" s="415"/>
      <c r="F105" s="415"/>
      <c r="G105" s="415"/>
      <c r="H105" s="415"/>
      <c r="I105" s="415"/>
      <c r="J105" s="415"/>
      <c r="K105" s="415"/>
      <c r="L105" s="352"/>
      <c r="M105" s="352"/>
      <c r="N105" s="352"/>
    </row>
    <row r="106" spans="1:14" ht="15">
      <c r="A106" s="415"/>
      <c r="B106" s="415"/>
      <c r="C106" s="415"/>
      <c r="D106" s="415"/>
      <c r="E106" s="415"/>
      <c r="F106" s="415"/>
      <c r="G106" s="415"/>
      <c r="H106" s="415"/>
      <c r="I106" s="415"/>
      <c r="J106" s="415"/>
      <c r="K106" s="415"/>
      <c r="L106" s="352"/>
      <c r="M106" s="352"/>
      <c r="N106" s="352"/>
    </row>
    <row r="107" spans="1:14" ht="15">
      <c r="A107" s="415"/>
      <c r="B107" s="415"/>
      <c r="C107" s="415"/>
      <c r="D107" s="415"/>
      <c r="E107" s="415"/>
      <c r="F107" s="415"/>
      <c r="G107" s="415"/>
      <c r="H107" s="415"/>
      <c r="I107" s="415"/>
      <c r="J107" s="415"/>
      <c r="K107" s="415"/>
      <c r="L107" s="352"/>
      <c r="M107" s="352"/>
      <c r="N107" s="352"/>
    </row>
    <row r="108" spans="1:14" ht="15">
      <c r="A108" s="415"/>
      <c r="B108" s="415"/>
      <c r="C108" s="415"/>
      <c r="D108" s="415"/>
      <c r="E108" s="415"/>
      <c r="F108" s="415"/>
      <c r="G108" s="415"/>
      <c r="H108" s="415"/>
      <c r="I108" s="415"/>
      <c r="J108" s="415"/>
      <c r="K108" s="415"/>
      <c r="L108" s="352"/>
      <c r="M108" s="352"/>
      <c r="N108" s="352"/>
    </row>
    <row r="109" spans="1:14" ht="15">
      <c r="A109" s="415"/>
      <c r="B109" s="415"/>
      <c r="C109" s="415"/>
      <c r="D109" s="415"/>
      <c r="E109" s="415"/>
      <c r="F109" s="415"/>
      <c r="G109" s="415"/>
      <c r="H109" s="415"/>
      <c r="I109" s="415"/>
      <c r="J109" s="415"/>
      <c r="K109" s="415"/>
      <c r="L109" s="352"/>
      <c r="M109" s="352"/>
      <c r="N109" s="352"/>
    </row>
    <row r="110" spans="1:14" ht="15">
      <c r="A110" s="415"/>
      <c r="B110" s="415"/>
      <c r="C110" s="415"/>
      <c r="D110" s="415"/>
      <c r="E110" s="415"/>
      <c r="F110" s="415"/>
      <c r="G110" s="415"/>
      <c r="H110" s="415"/>
      <c r="I110" s="415"/>
      <c r="J110" s="415"/>
      <c r="K110" s="415"/>
      <c r="L110" s="352"/>
      <c r="M110" s="352"/>
      <c r="N110" s="352"/>
    </row>
    <row r="111" spans="1:14" ht="15">
      <c r="A111" s="415"/>
      <c r="B111" s="415"/>
      <c r="C111" s="415"/>
      <c r="D111" s="415"/>
      <c r="E111" s="415"/>
      <c r="F111" s="415"/>
      <c r="G111" s="415"/>
      <c r="H111" s="415"/>
      <c r="I111" s="415"/>
      <c r="J111" s="415"/>
      <c r="K111" s="415"/>
      <c r="L111" s="352"/>
      <c r="M111" s="352"/>
      <c r="N111" s="352"/>
    </row>
    <row r="112" spans="1:14" ht="15">
      <c r="A112" s="415"/>
      <c r="B112" s="415"/>
      <c r="C112" s="415"/>
      <c r="D112" s="415"/>
      <c r="E112" s="415"/>
      <c r="F112" s="415"/>
      <c r="G112" s="415"/>
      <c r="H112" s="415"/>
      <c r="I112" s="415"/>
      <c r="J112" s="415"/>
      <c r="K112" s="415"/>
      <c r="L112" s="352"/>
      <c r="M112" s="352"/>
      <c r="N112" s="352"/>
    </row>
    <row r="113" spans="1:14" ht="15">
      <c r="A113" s="415"/>
      <c r="B113" s="415"/>
      <c r="C113" s="415"/>
      <c r="D113" s="415"/>
      <c r="E113" s="415"/>
      <c r="F113" s="415"/>
      <c r="G113" s="415"/>
      <c r="H113" s="415"/>
      <c r="I113" s="415"/>
      <c r="J113" s="415"/>
      <c r="K113" s="415"/>
      <c r="L113" s="352"/>
      <c r="M113" s="352"/>
      <c r="N113" s="352"/>
    </row>
    <row r="114" spans="1:14" ht="15">
      <c r="A114" s="415"/>
      <c r="B114" s="415"/>
      <c r="C114" s="415"/>
      <c r="D114" s="415"/>
      <c r="E114" s="415"/>
      <c r="F114" s="415"/>
      <c r="G114" s="415"/>
      <c r="H114" s="415"/>
      <c r="I114" s="415"/>
      <c r="J114" s="415"/>
      <c r="K114" s="415"/>
      <c r="L114" s="352"/>
      <c r="M114" s="352"/>
      <c r="N114" s="352"/>
    </row>
    <row r="115" spans="1:14" ht="15">
      <c r="A115" s="415"/>
      <c r="B115" s="415"/>
      <c r="C115" s="415"/>
      <c r="D115" s="415"/>
      <c r="E115" s="415"/>
      <c r="F115" s="415"/>
      <c r="G115" s="415"/>
      <c r="H115" s="415"/>
      <c r="I115" s="415"/>
      <c r="J115" s="415"/>
      <c r="K115" s="415"/>
      <c r="L115" s="352"/>
      <c r="M115" s="352"/>
      <c r="N115" s="352"/>
    </row>
    <row r="116" spans="1:14" ht="15">
      <c r="A116" s="415"/>
      <c r="B116" s="415"/>
      <c r="C116" s="415"/>
      <c r="D116" s="415"/>
      <c r="E116" s="415"/>
      <c r="F116" s="415"/>
      <c r="G116" s="415"/>
      <c r="H116" s="415"/>
      <c r="I116" s="415"/>
      <c r="J116" s="415"/>
      <c r="K116" s="415"/>
      <c r="L116" s="352"/>
      <c r="M116" s="352"/>
      <c r="N116" s="352"/>
    </row>
    <row r="117" spans="1:14" ht="15">
      <c r="A117" s="415"/>
      <c r="B117" s="415"/>
      <c r="C117" s="415"/>
      <c r="D117" s="415"/>
      <c r="E117" s="415"/>
      <c r="F117" s="415"/>
      <c r="G117" s="415"/>
      <c r="H117" s="415"/>
      <c r="I117" s="415"/>
      <c r="J117" s="415"/>
      <c r="K117" s="415"/>
      <c r="L117" s="352"/>
      <c r="M117" s="352"/>
      <c r="N117" s="352"/>
    </row>
    <row r="118" spans="1:14" ht="15">
      <c r="A118" s="415"/>
      <c r="B118" s="415"/>
      <c r="C118" s="415"/>
      <c r="D118" s="415"/>
      <c r="E118" s="415"/>
      <c r="F118" s="415"/>
      <c r="G118" s="415"/>
      <c r="H118" s="415"/>
      <c r="I118" s="415"/>
      <c r="J118" s="415"/>
      <c r="K118" s="415"/>
      <c r="L118" s="352"/>
      <c r="M118" s="352"/>
      <c r="N118" s="352"/>
    </row>
    <row r="119" spans="1:14" ht="15">
      <c r="A119" s="415"/>
      <c r="B119" s="415"/>
      <c r="C119" s="415"/>
      <c r="D119" s="415"/>
      <c r="E119" s="415"/>
      <c r="F119" s="415"/>
      <c r="G119" s="415"/>
      <c r="H119" s="415"/>
      <c r="I119" s="415"/>
      <c r="J119" s="415"/>
      <c r="K119" s="415"/>
      <c r="L119" s="352"/>
      <c r="M119" s="352"/>
      <c r="N119" s="352"/>
    </row>
    <row r="120" spans="1:14" ht="15">
      <c r="A120" s="415"/>
      <c r="B120" s="415"/>
      <c r="C120" s="415"/>
      <c r="D120" s="415"/>
      <c r="E120" s="415"/>
      <c r="F120" s="415"/>
      <c r="G120" s="415"/>
      <c r="H120" s="415"/>
      <c r="I120" s="415"/>
      <c r="J120" s="415"/>
      <c r="K120" s="415"/>
      <c r="L120" s="352"/>
      <c r="M120" s="352"/>
      <c r="N120" s="352"/>
    </row>
    <row r="121" spans="1:14" ht="15">
      <c r="A121" s="415"/>
      <c r="B121" s="415"/>
      <c r="C121" s="415"/>
      <c r="D121" s="415"/>
      <c r="E121" s="415"/>
      <c r="F121" s="415"/>
      <c r="G121" s="415"/>
      <c r="H121" s="415"/>
      <c r="I121" s="415"/>
      <c r="J121" s="415"/>
      <c r="K121" s="415"/>
      <c r="L121" s="352"/>
      <c r="M121" s="352"/>
      <c r="N121" s="352"/>
    </row>
    <row r="122" spans="1:14" ht="15">
      <c r="A122" s="415"/>
      <c r="B122" s="415"/>
      <c r="C122" s="415"/>
      <c r="D122" s="415"/>
      <c r="E122" s="415"/>
      <c r="F122" s="415"/>
      <c r="G122" s="415"/>
      <c r="H122" s="415"/>
      <c r="I122" s="415"/>
      <c r="J122" s="415"/>
      <c r="K122" s="415"/>
      <c r="L122" s="352"/>
      <c r="M122" s="352"/>
      <c r="N122" s="352"/>
    </row>
    <row r="123" spans="1:14" ht="15" hidden="1">
      <c r="A123" s="415"/>
      <c r="B123" s="415"/>
      <c r="C123" s="415"/>
      <c r="D123" s="415"/>
      <c r="E123" s="415"/>
      <c r="F123" s="415"/>
      <c r="G123" s="415"/>
      <c r="H123" s="415"/>
      <c r="I123" s="415"/>
      <c r="J123" s="415"/>
      <c r="K123" s="415"/>
      <c r="L123" s="352"/>
      <c r="M123" s="352"/>
      <c r="N123" s="352"/>
    </row>
    <row r="124" spans="1:14" ht="15" hidden="1">
      <c r="A124" s="352"/>
      <c r="B124" s="352"/>
      <c r="C124" s="352"/>
      <c r="D124" s="352"/>
      <c r="E124" s="352"/>
      <c r="F124" s="352"/>
      <c r="G124" s="352"/>
      <c r="H124" s="352"/>
      <c r="I124" s="352"/>
      <c r="J124" s="352"/>
      <c r="K124" s="352"/>
      <c r="L124" s="352"/>
      <c r="M124" s="352"/>
      <c r="N124" s="352"/>
    </row>
    <row r="125" spans="1:14" ht="15" hidden="1">
      <c r="A125" s="352"/>
      <c r="B125" s="352"/>
      <c r="C125" s="352"/>
      <c r="D125" s="352"/>
      <c r="E125" s="352"/>
      <c r="F125" s="352"/>
      <c r="G125" s="352"/>
      <c r="H125" s="352"/>
      <c r="I125" s="352"/>
      <c r="J125" s="352"/>
      <c r="K125" s="352"/>
      <c r="L125" s="352"/>
      <c r="M125" s="352"/>
      <c r="N125" s="352"/>
    </row>
    <row r="126" spans="1:14" ht="15" hidden="1">
      <c r="A126" s="352"/>
      <c r="B126" s="352"/>
      <c r="C126" s="352"/>
      <c r="D126" s="352"/>
      <c r="E126" s="352"/>
      <c r="F126" s="352"/>
      <c r="G126" s="352"/>
      <c r="H126" s="352"/>
      <c r="I126" s="352"/>
      <c r="J126" s="352"/>
      <c r="K126" s="352"/>
      <c r="L126" s="352"/>
      <c r="M126" s="352"/>
      <c r="N126" s="352"/>
    </row>
    <row r="127" spans="1:14" ht="15" hidden="1">
      <c r="A127" s="352"/>
      <c r="B127" s="352"/>
      <c r="C127" s="352"/>
      <c r="D127" s="352"/>
      <c r="E127" s="352"/>
      <c r="F127" s="352"/>
      <c r="G127" s="352"/>
      <c r="H127" s="352"/>
      <c r="I127" s="352"/>
      <c r="J127" s="352"/>
      <c r="K127" s="352"/>
      <c r="L127" s="352"/>
      <c r="M127" s="352"/>
      <c r="N127" s="352"/>
    </row>
    <row r="128" spans="1:14" ht="15" hidden="1">
      <c r="A128" s="352"/>
      <c r="B128" s="352"/>
      <c r="C128" s="352"/>
      <c r="D128" s="352"/>
      <c r="E128" s="352"/>
      <c r="F128" s="352"/>
      <c r="G128" s="352"/>
      <c r="H128" s="352"/>
      <c r="I128" s="352"/>
      <c r="J128" s="352"/>
      <c r="K128" s="352"/>
      <c r="L128" s="352"/>
      <c r="M128" s="352"/>
      <c r="N128" s="352"/>
    </row>
    <row r="129" spans="1:14" ht="15" hidden="1">
      <c r="A129" s="352"/>
      <c r="B129" s="352"/>
      <c r="C129" s="352"/>
      <c r="D129" s="352"/>
      <c r="E129" s="352"/>
      <c r="F129" s="352"/>
      <c r="G129" s="352"/>
      <c r="H129" s="352"/>
      <c r="I129" s="352"/>
      <c r="J129" s="352"/>
      <c r="K129" s="352"/>
      <c r="L129" s="352"/>
      <c r="M129" s="352"/>
      <c r="N129" s="352"/>
    </row>
    <row r="130" spans="1:14" ht="15" hidden="1">
      <c r="A130" s="352"/>
      <c r="B130" s="352"/>
      <c r="C130" s="352"/>
      <c r="D130" s="352"/>
      <c r="E130" s="352"/>
      <c r="F130" s="352"/>
      <c r="G130" s="352"/>
      <c r="H130" s="352"/>
      <c r="I130" s="352"/>
      <c r="J130" s="352"/>
      <c r="K130" s="352"/>
      <c r="L130" s="352"/>
      <c r="M130" s="352"/>
      <c r="N130" s="352"/>
    </row>
    <row r="131" spans="1:14" ht="15" hidden="1">
      <c r="A131" s="352"/>
      <c r="B131" s="352"/>
      <c r="C131" s="352"/>
      <c r="D131" s="352"/>
      <c r="E131" s="352"/>
      <c r="F131" s="352"/>
      <c r="G131" s="352"/>
      <c r="H131" s="352"/>
      <c r="I131" s="352"/>
      <c r="J131" s="352"/>
      <c r="K131" s="352"/>
      <c r="L131" s="352"/>
      <c r="M131" s="352"/>
      <c r="N131" s="352"/>
    </row>
    <row r="132" ht="14.25" customHeight="1" hidden="1"/>
    <row r="133" ht="14.25" hidden="1">
      <c r="F133" s="416"/>
    </row>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14.25" customHeight="1" hidden="1"/>
    <row r="160" ht="14.25" customHeight="1" hidden="1"/>
    <row r="161" ht="14.25" customHeight="1" hidden="1"/>
    <row r="162" ht="14.25" customHeight="1" hidden="1"/>
    <row r="163" ht="14.25" customHeight="1" hidden="1"/>
    <row r="164" ht="14.25" customHeight="1" hidden="1"/>
    <row r="165" ht="14.25" customHeight="1" hidden="1"/>
    <row r="166" ht="14.25" customHeight="1" hidden="1"/>
    <row r="167" ht="14.25" customHeight="1" hidden="1"/>
    <row r="168" ht="14.25" customHeight="1" hidden="1"/>
    <row r="169" ht="14.25" customHeight="1" hidden="1"/>
    <row r="170" ht="14.25" customHeight="1" hidden="1"/>
    <row r="171" ht="14.25" customHeight="1" hidden="1"/>
    <row r="172" ht="14.25" customHeight="1" hidden="1"/>
    <row r="173" ht="14.25" customHeight="1" hidden="1"/>
    <row r="174" ht="14.25" customHeight="1" hidden="1"/>
    <row r="175" ht="14.25" customHeight="1" hidden="1"/>
    <row r="176" ht="14.25" customHeight="1" hidden="1"/>
    <row r="177" ht="14.25" customHeight="1" hidden="1"/>
    <row r="178" ht="14.25" customHeight="1" hidden="1"/>
    <row r="179" ht="14.25" customHeight="1" hidden="1"/>
    <row r="180" ht="14.25" customHeight="1" hidden="1"/>
    <row r="181" ht="14.25" customHeight="1" hidden="1"/>
    <row r="182" ht="14.25" customHeight="1" hidden="1"/>
    <row r="183" ht="14.25" customHeight="1" hidden="1"/>
    <row r="184" ht="14.25" customHeight="1" hidden="1"/>
    <row r="185" ht="14.25" customHeight="1" hidden="1"/>
    <row r="186" ht="14.25" customHeight="1" hidden="1"/>
    <row r="187" ht="14.25" customHeight="1" hidden="1"/>
    <row r="188" ht="14.25" customHeight="1" hidden="1"/>
    <row r="189" ht="14.25" customHeight="1" hidden="1"/>
    <row r="190" ht="14.25" customHeight="1" hidden="1"/>
    <row r="191" ht="14.25" customHeight="1" hidden="1"/>
    <row r="192" ht="14.25" customHeight="1" hidden="1"/>
    <row r="193" ht="14.25" customHeight="1" hidden="1"/>
    <row r="194" ht="14.25" customHeight="1" hidden="1"/>
    <row r="195" ht="14.25" customHeight="1" hidden="1"/>
    <row r="196" ht="14.25" customHeight="1" hidden="1"/>
    <row r="197" ht="14.25" customHeight="1" hidden="1"/>
    <row r="198" ht="14.25" customHeight="1" hidden="1"/>
    <row r="199" ht="14.25" customHeight="1" hidden="1"/>
    <row r="200" ht="14.25" customHeight="1" hidden="1"/>
    <row r="201" ht="14.25" customHeight="1" hidden="1"/>
    <row r="202" ht="14.25" customHeight="1" hidden="1"/>
    <row r="203" ht="14.25" customHeight="1" hidden="1"/>
    <row r="204" ht="14.25" customHeight="1" hidden="1"/>
    <row r="205" ht="14.25" customHeight="1" hidden="1"/>
    <row r="206" ht="14.25" customHeight="1" hidden="1"/>
    <row r="207" ht="14.25" customHeight="1" hidden="1"/>
    <row r="208" ht="14.25" customHeight="1" hidden="1"/>
    <row r="209" ht="14.25" customHeight="1" hidden="1"/>
    <row r="210" ht="14.25" customHeight="1" hidden="1"/>
    <row r="211" ht="14.25" customHeight="1" hidden="1"/>
    <row r="212" ht="14.25" customHeight="1" hidden="1"/>
    <row r="213" ht="14.25" customHeight="1" hidden="1"/>
    <row r="214" ht="14.25" customHeight="1" hidden="1"/>
    <row r="215" ht="14.25" customHeight="1" hidden="1"/>
    <row r="216" ht="14.25" customHeight="1" hidden="1"/>
    <row r="217" ht="14.25" customHeight="1" hidden="1"/>
    <row r="218" ht="14.25" customHeight="1" hidden="1"/>
    <row r="219" ht="18" customHeight="1" hidden="1"/>
    <row r="220" ht="14.25" customHeight="1" hidden="1"/>
    <row r="221" ht="14.25" customHeight="1" hidden="1"/>
    <row r="222" ht="14.25" customHeight="1" hidden="1"/>
    <row r="223" ht="14.25" customHeight="1" hidden="1"/>
    <row r="224" ht="14.25" customHeight="1" hidden="1"/>
    <row r="225" ht="14.25" customHeight="1" hidden="1"/>
    <row r="226" ht="14.25" customHeight="1" hidden="1"/>
    <row r="227" ht="14.25" customHeight="1" hidden="1"/>
    <row r="228" ht="14.25" customHeight="1" hidden="1"/>
    <row r="229" ht="14.25" customHeight="1" hidden="1"/>
    <row r="230" ht="14.25" customHeight="1" hidden="1"/>
    <row r="231" ht="14.25" customHeight="1" hidden="1"/>
    <row r="232" ht="14.25" customHeight="1" hidden="1"/>
    <row r="233" ht="14.25" customHeight="1" hidden="1"/>
    <row r="234" ht="14.25" customHeight="1" hidden="1"/>
    <row r="235" ht="14.25" customHeight="1" hidden="1"/>
    <row r="236" ht="14.25" customHeight="1" hidden="1"/>
    <row r="237" ht="14.25" customHeight="1" hidden="1"/>
    <row r="238" ht="14.25" customHeight="1" hidden="1"/>
    <row r="239" ht="14.25" customHeight="1" hidden="1"/>
  </sheetData>
  <sheetProtection password="83AF" sheet="1" objects="1" scenarios="1" selectLockedCells="1" selectUnlockedCells="1"/>
  <mergeCells count="79">
    <mergeCell ref="A67:C67"/>
    <mergeCell ref="D67:F67"/>
    <mergeCell ref="G67:H67"/>
    <mergeCell ref="A84:B84"/>
    <mergeCell ref="A78:B78"/>
    <mergeCell ref="A74:C74"/>
    <mergeCell ref="A69:C69"/>
    <mergeCell ref="D69:F69"/>
    <mergeCell ref="G69:H69"/>
    <mergeCell ref="A91:B91"/>
    <mergeCell ref="A85:B85"/>
    <mergeCell ref="A86:B86"/>
    <mergeCell ref="A87:B87"/>
    <mergeCell ref="A88:B88"/>
    <mergeCell ref="A89:B89"/>
    <mergeCell ref="A90:B90"/>
    <mergeCell ref="K73:L73"/>
    <mergeCell ref="A79:B79"/>
    <mergeCell ref="A80:B80"/>
    <mergeCell ref="A81:B81"/>
    <mergeCell ref="A82:B82"/>
    <mergeCell ref="A83:B83"/>
    <mergeCell ref="K74:L74"/>
    <mergeCell ref="K75:L75"/>
    <mergeCell ref="F75:G75"/>
    <mergeCell ref="A75:C75"/>
    <mergeCell ref="I73:J73"/>
    <mergeCell ref="I74:J74"/>
    <mergeCell ref="I75:J75"/>
    <mergeCell ref="F73:G73"/>
    <mergeCell ref="F74:G74"/>
    <mergeCell ref="A71:C71"/>
    <mergeCell ref="D71:F71"/>
    <mergeCell ref="G71:H71"/>
    <mergeCell ref="A72:C72"/>
    <mergeCell ref="A73:C73"/>
    <mergeCell ref="A70:C70"/>
    <mergeCell ref="D70:F70"/>
    <mergeCell ref="G70:H70"/>
    <mergeCell ref="B58:F58"/>
    <mergeCell ref="G58:L58"/>
    <mergeCell ref="B59:F59"/>
    <mergeCell ref="G59:L59"/>
    <mergeCell ref="A68:C68"/>
    <mergeCell ref="D68:F68"/>
    <mergeCell ref="G68:H68"/>
    <mergeCell ref="A62:C62"/>
    <mergeCell ref="D62:F62"/>
    <mergeCell ref="A63:C63"/>
    <mergeCell ref="B55:F55"/>
    <mergeCell ref="G55:L55"/>
    <mergeCell ref="B56:F56"/>
    <mergeCell ref="G56:L56"/>
    <mergeCell ref="B57:F57"/>
    <mergeCell ref="G57:L57"/>
    <mergeCell ref="D63:F63"/>
    <mergeCell ref="B53:F53"/>
    <mergeCell ref="G53:L53"/>
    <mergeCell ref="B54:F54"/>
    <mergeCell ref="G54:L54"/>
    <mergeCell ref="B50:F50"/>
    <mergeCell ref="G50:L50"/>
    <mergeCell ref="B51:F51"/>
    <mergeCell ref="G51:L51"/>
    <mergeCell ref="B52:F52"/>
    <mergeCell ref="G52:L52"/>
    <mergeCell ref="C1:F1"/>
    <mergeCell ref="B11:L11"/>
    <mergeCell ref="B22:L22"/>
    <mergeCell ref="B48:F48"/>
    <mergeCell ref="G48:L48"/>
    <mergeCell ref="B49:F49"/>
    <mergeCell ref="G49:L49"/>
    <mergeCell ref="A64:C64"/>
    <mergeCell ref="D64:F64"/>
    <mergeCell ref="A65:C65"/>
    <mergeCell ref="D65:F65"/>
    <mergeCell ref="A66:C66"/>
    <mergeCell ref="D66:F66"/>
  </mergeCells>
  <printOptions horizontalCentered="1"/>
  <pageMargins left="0.5" right="0.5" top="1.25" bottom="0.75" header="0.75" footer="0.5"/>
  <pageSetup fitToHeight="10" horizontalDpi="300" verticalDpi="300" orientation="landscape" scale="80" r:id="rId12"/>
  <headerFooter alignWithMargins="0">
    <oddHeader>&amp;L&amp;"Trebuchet MS,Regular"Gravimetric Calibration of Volumetric Ware
Using an Electronic Balance&amp;R&amp;"Trebuchet MS,Regular"WAMRF-005, Rev. 30, 12/10/2014</oddHeader>
    <oddFooter>&amp;L&amp;"Trebuchet MS,Regular"&amp;F&amp;R&amp;"Trebuchet MS,Regular"&amp;A Worksheet Page &amp;P of &amp;N</oddFooter>
  </headerFooter>
  <rowBreaks count="5" manualBreakCount="5">
    <brk id="19" max="255" man="1"/>
    <brk id="46" max="255" man="1"/>
    <brk id="60" max="255" man="1"/>
    <brk id="76" max="255" man="1"/>
    <brk id="102" max="255" man="1"/>
  </rowBreaks>
  <drawing r:id="rId11"/>
  <legacyDrawing r:id="rId10"/>
  <oleObjects>
    <oleObject progId="Equation.3" shapeId="1657057" r:id="rId1"/>
    <oleObject progId="Equation.3" shapeId="1657058" r:id="rId2"/>
    <oleObject progId="Equation.3" shapeId="1657060" r:id="rId3"/>
    <oleObject progId="Equation.3" shapeId="1657064" r:id="rId4"/>
    <oleObject progId="Equation.3" shapeId="1657066" r:id="rId5"/>
    <oleObject progId="Equation.3" shapeId="1657067" r:id="rId6"/>
    <oleObject progId="Equation.3" shapeId="328725" r:id="rId7"/>
    <oleObject progId="Equation.3" shapeId="328726" r:id="rId8"/>
    <oleObject progId="Equation.3" shapeId="1259123" r:id="rId9"/>
  </oleObjects>
</worksheet>
</file>

<file path=xl/worksheets/sheet12.xml><?xml version="1.0" encoding="utf-8"?>
<worksheet xmlns="http://schemas.openxmlformats.org/spreadsheetml/2006/main" xmlns:r="http://schemas.openxmlformats.org/officeDocument/2006/relationships">
  <sheetPr>
    <tabColor indexed="20"/>
  </sheetPr>
  <dimension ref="A1:M21"/>
  <sheetViews>
    <sheetView showGridLines="0" zoomScalePageLayoutView="0" workbookViewId="0" topLeftCell="A1">
      <selection activeCell="A1" sqref="A1"/>
    </sheetView>
  </sheetViews>
  <sheetFormatPr defaultColWidth="0" defaultRowHeight="15.75" zeroHeight="1"/>
  <cols>
    <col min="1" max="1" width="32.77734375" style="0" customWidth="1"/>
    <col min="2" max="2" width="1.77734375" style="0" customWidth="1"/>
    <col min="3" max="3" width="24.6640625" style="0" customWidth="1"/>
    <col min="4" max="5" width="12.77734375" style="0" customWidth="1"/>
    <col min="6" max="6" width="10.5546875" style="0" customWidth="1"/>
    <col min="7" max="7" width="7.4453125" style="0" customWidth="1"/>
    <col min="8" max="8" width="16.88671875" style="0" customWidth="1"/>
    <col min="9" max="9" width="1.77734375" style="0" customWidth="1"/>
    <col min="10" max="10" width="30.6640625" style="0" customWidth="1"/>
    <col min="11" max="11" width="1.77734375" style="0" customWidth="1"/>
    <col min="12" max="12" width="23.5546875" style="0" customWidth="1"/>
    <col min="13" max="13" width="13.21484375" style="0" customWidth="1"/>
    <col min="14" max="14" width="1.77734375" style="0" customWidth="1"/>
    <col min="15" max="16384" width="0" style="0" hidden="1" customWidth="1"/>
  </cols>
  <sheetData>
    <row r="1" spans="1:13" ht="19.5" thickBot="1">
      <c r="A1" s="29" t="s">
        <v>99</v>
      </c>
      <c r="B1" s="7"/>
      <c r="C1" s="29"/>
      <c r="D1" s="7"/>
      <c r="E1" s="7"/>
      <c r="F1" s="7"/>
      <c r="G1" s="30"/>
      <c r="H1" s="30">
        <f>IF(RptNo="","","Report Number: "&amp;RptNo)</f>
      </c>
      <c r="I1" s="31"/>
      <c r="J1" s="29" t="s">
        <v>99</v>
      </c>
      <c r="K1" s="7"/>
      <c r="L1" s="7"/>
      <c r="M1" s="30">
        <f>IF(RptNo="","","Report Number: "&amp;RptNo)</f>
      </c>
    </row>
    <row r="2" spans="1:3" ht="12" customHeight="1">
      <c r="A2" s="31"/>
      <c r="B2" s="34"/>
      <c r="C2" s="35"/>
    </row>
    <row r="3" spans="1:13" ht="124.5" customHeight="1">
      <c r="A3" s="161" t="s">
        <v>50</v>
      </c>
      <c r="C3" s="729" t="s">
        <v>648</v>
      </c>
      <c r="D3" s="729"/>
      <c r="E3" s="729"/>
      <c r="F3" s="729"/>
      <c r="G3" s="729"/>
      <c r="H3" s="729"/>
      <c r="J3" s="342" t="s">
        <v>651</v>
      </c>
      <c r="L3" s="727" t="s">
        <v>647</v>
      </c>
      <c r="M3" s="728"/>
    </row>
    <row r="4" spans="1:13" ht="18">
      <c r="A4" s="162" t="s">
        <v>137</v>
      </c>
      <c r="C4" s="154" t="s">
        <v>30</v>
      </c>
      <c r="D4" s="155" t="s">
        <v>31</v>
      </c>
      <c r="E4" s="155" t="str">
        <f>"U (k="&amp;Reportedk&amp;")"</f>
        <v>U (k=)</v>
      </c>
      <c r="F4" s="154" t="s">
        <v>133</v>
      </c>
      <c r="G4" s="155" t="s">
        <v>64</v>
      </c>
      <c r="H4" s="155" t="s">
        <v>124</v>
      </c>
      <c r="J4" s="185" t="s">
        <v>123</v>
      </c>
      <c r="L4" s="187" t="s">
        <v>39</v>
      </c>
      <c r="M4" s="188" t="s">
        <v>113</v>
      </c>
    </row>
    <row r="5" spans="1:13" ht="15.75">
      <c r="A5" s="162" t="s">
        <v>138</v>
      </c>
      <c r="C5" s="156" t="s">
        <v>40</v>
      </c>
      <c r="D5" s="157" t="e">
        <f>FIXED(Calculations!$C$31/16.38706,2-1-INT(LOG10(ABS(ReportedUnc/16.38706))),TRUE)</f>
        <v>#VALUE!</v>
      </c>
      <c r="E5" s="157" t="e">
        <f>FIXED(ReportedUnc/16.38706,2-1-INT(LOG10(ABS(ReportedUnc/16.38706))),TRUE)</f>
        <v>#VALUE!</v>
      </c>
      <c r="F5" s="159" t="e">
        <f>FIXED(Tol/16.38706,2-1-INT(LOG10(ABS(ReportedUnc/16.38706))),TRUE)</f>
        <v>#VALUE!</v>
      </c>
      <c r="G5" s="158" t="s">
        <v>52</v>
      </c>
      <c r="H5" s="160">
        <f>NomVal*16.38706</f>
        <v>0</v>
      </c>
      <c r="J5" s="186" t="s">
        <v>141</v>
      </c>
      <c r="L5" s="189" t="s">
        <v>25</v>
      </c>
      <c r="M5" s="190">
        <v>1E-05</v>
      </c>
    </row>
    <row r="6" spans="1:13" ht="15.75">
      <c r="A6" s="162" t="s">
        <v>147</v>
      </c>
      <c r="C6" s="156" t="s">
        <v>41</v>
      </c>
      <c r="D6" s="157" t="e">
        <f>FIXED(Calculations!$C$31/29.57353,2-1-INT(LOG10(ABS(ReportedUnc/29.57353))),TRUE)</f>
        <v>#VALUE!</v>
      </c>
      <c r="E6" s="157" t="e">
        <f>FIXED(ReportedUnc/29.57353,2-1-INT(LOG10(ABS(ReportedUnc/29.57353))),TRUE)</f>
        <v>#VALUE!</v>
      </c>
      <c r="F6" s="159" t="e">
        <f>FIXED(Tol/29.57353,2-1-INT(LOG10(ABS(ReportedUnc/29.57353))),TRUE)</f>
        <v>#VALUE!</v>
      </c>
      <c r="G6" s="158" t="s">
        <v>65</v>
      </c>
      <c r="H6" s="160">
        <f>NomVal*29.57353</f>
        <v>0</v>
      </c>
      <c r="J6" s="186" t="s">
        <v>142</v>
      </c>
      <c r="L6" s="189" t="s">
        <v>26</v>
      </c>
      <c r="M6" s="190">
        <v>1.5E-05</v>
      </c>
    </row>
    <row r="7" spans="1:13" ht="15.75">
      <c r="A7" s="162" t="s">
        <v>135</v>
      </c>
      <c r="C7" s="156" t="s">
        <v>42</v>
      </c>
      <c r="D7" s="157" t="e">
        <f>FIXED(Calculations!$C$31/3785.412,2-1-INT(LOG10(ABS(ReportedUnc/3785.412))),TRUE)</f>
        <v>#VALUE!</v>
      </c>
      <c r="E7" s="157" t="e">
        <f>FIXED(ReportedUnc/3785.412,2-1-INT(LOG10(ABS(ReportedUnc/3785.412))),TRUE)</f>
        <v>#VALUE!</v>
      </c>
      <c r="F7" s="159" t="e">
        <f>FIXED(Tol/3785.412,2-1-INT(LOG10(ABS(ReportedUnc/3785.412))),TRUE)</f>
        <v>#VALUE!</v>
      </c>
      <c r="G7" s="158" t="s">
        <v>51</v>
      </c>
      <c r="H7" s="160">
        <f>NomVal*3785.412</f>
        <v>0</v>
      </c>
      <c r="J7" s="186" t="s">
        <v>143</v>
      </c>
      <c r="L7" s="189" t="s">
        <v>27</v>
      </c>
      <c r="M7" s="190">
        <v>2.5E-05</v>
      </c>
    </row>
    <row r="8" spans="1:13" ht="15.75">
      <c r="A8" s="162" t="s">
        <v>136</v>
      </c>
      <c r="C8" s="156" t="s">
        <v>43</v>
      </c>
      <c r="D8" s="157" t="e">
        <f>FIXED(Calculations!$C$31/118.2941,2-1-INT(LOG10(ABS(ReportedUnc/118.2941))),TRUE)</f>
        <v>#VALUE!</v>
      </c>
      <c r="E8" s="157" t="e">
        <f>FIXED(ReportedUnc/118.2941,2-1-INT(LOG10(ABS(ReportedUnc/118.2941))),TRUE)</f>
        <v>#VALUE!</v>
      </c>
      <c r="F8" s="159" t="e">
        <f>FIXED(Tol/118.2941,2-1-INT(LOG10(ABS(ReportedUnc/118.2941))),TRUE)</f>
        <v>#VALUE!</v>
      </c>
      <c r="G8" s="158" t="s">
        <v>66</v>
      </c>
      <c r="H8" s="160">
        <f>NomVal*118.2941</f>
        <v>0</v>
      </c>
      <c r="J8" s="186" t="s">
        <v>144</v>
      </c>
      <c r="L8" s="189" t="s">
        <v>116</v>
      </c>
      <c r="M8" s="190">
        <v>0.00045</v>
      </c>
    </row>
    <row r="9" spans="1:13" ht="15.75">
      <c r="A9" s="162" t="s">
        <v>134</v>
      </c>
      <c r="C9" s="156" t="s">
        <v>44</v>
      </c>
      <c r="D9" s="157" t="e">
        <f>FIXED(Calculations!$C$31/473.1765,2-1-INT(LOG10(ABS(ReportedUnc/473.1765))),TRUE)</f>
        <v>#VALUE!</v>
      </c>
      <c r="E9" s="157" t="e">
        <f>FIXED(ReportedUnc/473.1765,2-1-INT(LOG10(ABS(ReportedUnc/473.1765))),TRUE)</f>
        <v>#VALUE!</v>
      </c>
      <c r="F9" s="159" t="e">
        <f>FIXED(Tol/473.1765,2-1-INT(LOG10(ABS(ReportedUnc/473.1765))),TRUE)</f>
        <v>#VALUE!</v>
      </c>
      <c r="G9" s="158" t="s">
        <v>442</v>
      </c>
      <c r="H9" s="160">
        <f>NomVal*473.1765</f>
        <v>0</v>
      </c>
      <c r="J9" s="186" t="s">
        <v>145</v>
      </c>
      <c r="L9" s="189" t="s">
        <v>115</v>
      </c>
      <c r="M9" s="190">
        <v>0.00024</v>
      </c>
    </row>
    <row r="10" spans="3:13" ht="15.75">
      <c r="C10" s="156" t="s">
        <v>45</v>
      </c>
      <c r="D10" s="157" t="e">
        <f>FIXED(Calculations!$C$31/946.3529,2-1-INT(LOG10(ABS(ReportedUnc/946.3529))),TRUE)</f>
        <v>#VALUE!</v>
      </c>
      <c r="E10" s="157" t="e">
        <f>FIXED(ReportedUnc/946.3529,2-1-INT(LOG10(ABS(ReportedUnc/946.3529))),TRUE)</f>
        <v>#VALUE!</v>
      </c>
      <c r="F10" s="159" t="e">
        <f>FIXED(Tol/946.3529,2-1-INT(LOG10(ABS(ReportedUnc/946.3529))),TRUE)</f>
        <v>#VALUE!</v>
      </c>
      <c r="G10" s="158" t="s">
        <v>443</v>
      </c>
      <c r="H10" s="160">
        <f>NomVal*946.3529</f>
        <v>0</v>
      </c>
      <c r="J10" s="186" t="s">
        <v>146</v>
      </c>
      <c r="L10" s="189" t="s">
        <v>117</v>
      </c>
      <c r="M10" s="190">
        <v>0.00021</v>
      </c>
    </row>
    <row r="11" spans="3:13" ht="15.75">
      <c r="C11" s="156" t="s">
        <v>46</v>
      </c>
      <c r="D11" s="157" t="e">
        <f>FIXED(Calculations!$C$31/1000,2-1-INT(LOG10(ABS(ReportedUnc/1000))),TRUE)</f>
        <v>#VALUE!</v>
      </c>
      <c r="E11" s="157" t="e">
        <f>FIXED(ReportedUnc/1000,2-1-INT(LOG10(ABS(ReportedUnc/1000))),TRUE)</f>
        <v>#VALUE!</v>
      </c>
      <c r="F11" s="159" t="e">
        <f>FIXED(Tol/1000,2-1-INT(LOG10(ABS(ReportedUnc/1000))),TRUE)</f>
        <v>#VALUE!</v>
      </c>
      <c r="G11" s="158" t="s">
        <v>67</v>
      </c>
      <c r="H11" s="160">
        <f>NomVal*1000</f>
        <v>0</v>
      </c>
      <c r="J11" s="186" t="s">
        <v>120</v>
      </c>
      <c r="L11" s="189" t="s">
        <v>114</v>
      </c>
      <c r="M11" s="190">
        <v>1.6E-06</v>
      </c>
    </row>
    <row r="12" spans="3:13" ht="15.75">
      <c r="C12" s="156" t="s">
        <v>47</v>
      </c>
      <c r="D12" s="157" t="e">
        <f>FIXED(Calculations!$C$31,2-1-INT(LOG10(ABS(ReportedUnc))),TRUE)</f>
        <v>#VALUE!</v>
      </c>
      <c r="E12" s="157" t="e">
        <f>FIXED(ReportedUnc,2-1-INT(LOG10(ABS(ReportedUnc))),TRUE)</f>
        <v>#VALUE!</v>
      </c>
      <c r="F12" s="159" t="e">
        <f>FIXED(Tol,2-1-INT(LOG10(ABS(ReportedUnc))),TRUE)</f>
        <v>#VALUE!</v>
      </c>
      <c r="G12" s="158" t="s">
        <v>19</v>
      </c>
      <c r="H12" s="160">
        <f>NomVal</f>
        <v>0</v>
      </c>
      <c r="J12" s="186" t="s">
        <v>125</v>
      </c>
      <c r="L12" s="189" t="s">
        <v>139</v>
      </c>
      <c r="M12" s="190">
        <v>3.35E-05</v>
      </c>
    </row>
    <row r="13" spans="3:13" ht="15.75">
      <c r="C13" s="733" t="s">
        <v>646</v>
      </c>
      <c r="D13" s="732">
        <f>Final_U</f>
      </c>
      <c r="E13" s="732" t="s">
        <v>588</v>
      </c>
      <c r="F13" s="734">
        <f>Final_k</f>
      </c>
      <c r="G13" s="733" t="s">
        <v>589</v>
      </c>
      <c r="H13" s="734">
        <f>Final_Veff</f>
      </c>
      <c r="J13" s="186" t="s">
        <v>127</v>
      </c>
      <c r="L13" s="189" t="s">
        <v>24</v>
      </c>
      <c r="M13" s="190">
        <v>4.77E-05</v>
      </c>
    </row>
    <row r="14" spans="3:13" ht="15.75">
      <c r="C14" s="733"/>
      <c r="D14" s="732"/>
      <c r="E14" s="732"/>
      <c r="F14" s="734"/>
      <c r="G14" s="733"/>
      <c r="H14" s="734"/>
      <c r="J14" s="186" t="s">
        <v>121</v>
      </c>
      <c r="L14" s="189" t="s">
        <v>140</v>
      </c>
      <c r="M14" s="190">
        <v>3.5E-05</v>
      </c>
    </row>
    <row r="15" ht="15.75">
      <c r="J15" s="186" t="s">
        <v>122</v>
      </c>
    </row>
    <row r="16" ht="15.75"/>
    <row r="17" ht="15.75"/>
    <row r="18" spans="1:7" ht="31.5" customHeight="1">
      <c r="A18" s="730" t="s">
        <v>69</v>
      </c>
      <c r="B18" s="730"/>
      <c r="C18" s="730"/>
      <c r="D18" s="730"/>
      <c r="E18" s="730"/>
      <c r="F18" s="730"/>
      <c r="G18" s="730"/>
    </row>
    <row r="19" spans="1:7" ht="42" customHeight="1">
      <c r="A19" s="731" t="str">
        <f>"● The "&amp;Description&amp;" delivers the stated volume at the reference temperature from the specified graduation line when it is emptied gradually within a 30 (± 5 seconds) pour and a 10-second drain while held at a 10º to 15º angle from vertical."</f>
        <v>● The  delivers the stated volume at the reference temperature from the specified graduation line when it is emptied gradually within a 30 (± 5 seconds) pour and a 10-second drain while held at a 10º to 15º angle from vertical.</v>
      </c>
      <c r="B19" s="731"/>
      <c r="C19" s="731"/>
      <c r="D19" s="731"/>
      <c r="E19" s="731"/>
      <c r="F19" s="731"/>
      <c r="G19" s="731"/>
    </row>
    <row r="20" spans="1:7" ht="48.75" customHeight="1">
      <c r="A20" s="731" t="str">
        <f>"● The "&amp;Description&amp;", when cleaned and dried, contains the stated volume at the reference temperature when filled to its nominal graduation line. The "&amp;Description&amp;" must always be cleaned and dried between successive uses for purposes of accuracy."</f>
        <v>● The , when cleaned and dried, contains the stated volume at the reference temperature when filled to its nominal graduation line. The  must always be cleaned and dried between successive uses for purposes of accuracy.</v>
      </c>
      <c r="B20" s="731"/>
      <c r="C20" s="731"/>
      <c r="D20" s="731"/>
      <c r="E20" s="731"/>
      <c r="F20" s="731"/>
      <c r="G20" s="731"/>
    </row>
    <row r="21" spans="1:7" ht="36" customHeight="1">
      <c r="A21" s="731" t="str">
        <f>"● The "&amp;Description&amp;" delivers the stated volume at the reference temperature is when it is drained for a 30 (± 5) second period after cessation of the main flow."</f>
        <v>● The  delivers the stated volume at the reference temperature is when it is drained for a 30 (± 5) second period after cessation of the main flow.</v>
      </c>
      <c r="B21" s="731"/>
      <c r="C21" s="731"/>
      <c r="D21" s="731"/>
      <c r="E21" s="731"/>
      <c r="F21" s="731"/>
      <c r="G21" s="731"/>
    </row>
    <row r="22" ht="15.75"/>
    <row r="23" ht="15.75" hidden="1"/>
    <row r="24" ht="15.75" hidden="1"/>
    <row r="25" ht="15.75" hidden="1"/>
    <row r="26" ht="15.75" hidden="1"/>
    <row r="27" ht="15.75" hidden="1"/>
    <row r="28" ht="15.75" hidden="1"/>
    <row r="29" ht="15.75" hidden="1"/>
    <row r="30" ht="15.75" hidden="1"/>
    <row r="31" ht="15.75" hidden="1"/>
    <row r="32" ht="15.75" hidden="1"/>
    <row r="33" ht="15.75" hidden="1"/>
    <row r="34" ht="15.75" hidden="1"/>
    <row r="35" ht="15.75" hidden="1"/>
    <row r="36" ht="15.75" hidden="1"/>
    <row r="37" ht="15.75" hidden="1"/>
    <row r="38" ht="15.75" hidden="1"/>
    <row r="39" ht="15.75" hidden="1"/>
    <row r="40" ht="15.75" hidden="1"/>
    <row r="41" ht="15.75" hidden="1"/>
    <row r="42" ht="15.75" hidden="1"/>
    <row r="43" ht="15.75" hidden="1"/>
    <row r="44" ht="15.75" hidden="1"/>
    <row r="45" ht="15.75" hidden="1"/>
    <row r="46" ht="15.75" hidden="1"/>
  </sheetData>
  <sheetProtection password="83AF" sheet="1" objects="1" scenarios="1" selectLockedCells="1" selectUnlockedCells="1"/>
  <mergeCells count="12">
    <mergeCell ref="A20:G20"/>
    <mergeCell ref="A21:G21"/>
    <mergeCell ref="L3:M3"/>
    <mergeCell ref="C3:H3"/>
    <mergeCell ref="A18:G18"/>
    <mergeCell ref="A19:G19"/>
    <mergeCell ref="D13:D14"/>
    <mergeCell ref="C13:C14"/>
    <mergeCell ref="E13:E14"/>
    <mergeCell ref="F13:F14"/>
    <mergeCell ref="H13:H14"/>
    <mergeCell ref="G13:G14"/>
  </mergeCells>
  <printOptions horizontalCentered="1"/>
  <pageMargins left="0.5" right="0.5" top="1.25" bottom="0.75" header="0.75" footer="0.25"/>
  <pageSetup horizontalDpi="600" verticalDpi="600" orientation="landscape" pageOrder="overThenDown" scale="76" r:id="rId1"/>
  <headerFooter alignWithMargins="0">
    <oddHeader>&amp;L&amp;"Trebuchet MS,Regular"Gravimetric Calibration of Volumetric Ware
Using an Electronic Balance&amp;R&amp;"Trebuchet MS,Regular"WAMRF-005, Rev. 30, 12/10/2014</oddHeader>
    <oddFooter>&amp;L&amp;"Trebuchet MS,Regular"&amp;F&amp;R&amp;"Trebuchet MS,Regular"&amp;A Worksheet Page &amp;P of &amp;N</oddFoot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sheetPr>
    <tabColor theme="6" tint="-0.24997000396251678"/>
  </sheetPr>
  <dimension ref="A1:G81"/>
  <sheetViews>
    <sheetView showGridLines="0" showZeros="0" showOutlineSymbols="0" zoomScalePageLayoutView="0" workbookViewId="0" topLeftCell="A1">
      <pane ySplit="2" topLeftCell="A71" activePane="bottomLeft" state="frozen"/>
      <selection pane="topLeft" activeCell="A1" sqref="A1"/>
      <selection pane="bottomLeft" activeCell="A81" sqref="A81"/>
    </sheetView>
  </sheetViews>
  <sheetFormatPr defaultColWidth="0" defaultRowHeight="15.75"/>
  <cols>
    <col min="1" max="1" width="12.3359375" style="150" customWidth="1"/>
    <col min="2" max="2" width="54.99609375" style="131" customWidth="1"/>
    <col min="3" max="3" width="9.77734375" style="131" customWidth="1"/>
    <col min="4" max="4" width="3.77734375" style="131" customWidth="1"/>
    <col min="5" max="8" width="9.77734375" style="131" hidden="1" customWidth="1"/>
    <col min="9" max="9" width="9.10546875" style="131" hidden="1" customWidth="1"/>
    <col min="10" max="16384" width="8.88671875" style="131" hidden="1" customWidth="1"/>
  </cols>
  <sheetData>
    <row r="1" spans="1:7" ht="20.25" thickBot="1">
      <c r="A1" s="153" t="s">
        <v>102</v>
      </c>
      <c r="B1" s="132"/>
      <c r="C1" s="133"/>
      <c r="D1" s="134"/>
      <c r="E1" s="134"/>
      <c r="F1" s="134"/>
      <c r="G1" s="134"/>
    </row>
    <row r="2" spans="1:3" ht="18">
      <c r="A2" s="151" t="s">
        <v>195</v>
      </c>
      <c r="B2" s="135" t="s">
        <v>10</v>
      </c>
      <c r="C2" s="136" t="s">
        <v>203</v>
      </c>
    </row>
    <row r="3" spans="1:3" ht="90">
      <c r="A3" s="152">
        <v>37056</v>
      </c>
      <c r="B3" s="137" t="s">
        <v>348</v>
      </c>
      <c r="C3" s="138" t="s">
        <v>204</v>
      </c>
    </row>
    <row r="4" spans="1:3" ht="36">
      <c r="A4" s="152">
        <v>38049</v>
      </c>
      <c r="B4" s="137" t="s">
        <v>216</v>
      </c>
      <c r="C4" s="138" t="s">
        <v>204</v>
      </c>
    </row>
    <row r="5" spans="1:3" ht="36">
      <c r="A5" s="152">
        <v>38119</v>
      </c>
      <c r="B5" s="137" t="s">
        <v>205</v>
      </c>
      <c r="C5" s="138" t="s">
        <v>204</v>
      </c>
    </row>
    <row r="6" spans="1:3" ht="18">
      <c r="A6" s="152">
        <v>38237</v>
      </c>
      <c r="B6" s="137" t="s">
        <v>217</v>
      </c>
      <c r="C6" s="138" t="s">
        <v>204</v>
      </c>
    </row>
    <row r="7" spans="1:3" ht="54">
      <c r="A7" s="152">
        <v>39119</v>
      </c>
      <c r="B7" s="137" t="s">
        <v>206</v>
      </c>
      <c r="C7" s="138" t="s">
        <v>204</v>
      </c>
    </row>
    <row r="8" spans="1:3" ht="36">
      <c r="A8" s="152">
        <v>39171</v>
      </c>
      <c r="B8" s="137" t="s">
        <v>207</v>
      </c>
      <c r="C8" s="138" t="s">
        <v>204</v>
      </c>
    </row>
    <row r="9" spans="1:3" ht="36">
      <c r="A9" s="152">
        <v>39349</v>
      </c>
      <c r="B9" s="137" t="s">
        <v>208</v>
      </c>
      <c r="C9" s="138" t="s">
        <v>204</v>
      </c>
    </row>
    <row r="10" spans="1:3" ht="54">
      <c r="A10" s="152">
        <v>39498</v>
      </c>
      <c r="B10" s="137" t="s">
        <v>585</v>
      </c>
      <c r="C10" s="138" t="s">
        <v>204</v>
      </c>
    </row>
    <row r="11" spans="1:3" ht="36">
      <c r="A11" s="152">
        <v>39777</v>
      </c>
      <c r="B11" s="137" t="s">
        <v>215</v>
      </c>
      <c r="C11" s="138" t="s">
        <v>204</v>
      </c>
    </row>
    <row r="12" spans="1:3" ht="36">
      <c r="A12" s="152">
        <v>39777</v>
      </c>
      <c r="B12" s="137" t="s">
        <v>214</v>
      </c>
      <c r="C12" s="138" t="s">
        <v>204</v>
      </c>
    </row>
    <row r="13" spans="1:3" ht="36">
      <c r="A13" s="152">
        <v>39777</v>
      </c>
      <c r="B13" s="137" t="s">
        <v>213</v>
      </c>
      <c r="C13" s="138" t="s">
        <v>204</v>
      </c>
    </row>
    <row r="14" spans="1:3" ht="36">
      <c r="A14" s="152">
        <v>39777</v>
      </c>
      <c r="B14" s="137" t="s">
        <v>212</v>
      </c>
      <c r="C14" s="138" t="s">
        <v>204</v>
      </c>
    </row>
    <row r="15" spans="1:3" ht="18">
      <c r="A15" s="152">
        <v>39777</v>
      </c>
      <c r="B15" s="137" t="s">
        <v>210</v>
      </c>
      <c r="C15" s="138" t="s">
        <v>204</v>
      </c>
    </row>
    <row r="16" spans="1:3" ht="36">
      <c r="A16" s="152">
        <v>39777</v>
      </c>
      <c r="B16" s="137" t="s">
        <v>211</v>
      </c>
      <c r="C16" s="138" t="s">
        <v>204</v>
      </c>
    </row>
    <row r="17" spans="1:3" ht="18">
      <c r="A17" s="147">
        <v>39835</v>
      </c>
      <c r="B17" s="148" t="s">
        <v>226</v>
      </c>
      <c r="C17" s="149" t="s">
        <v>204</v>
      </c>
    </row>
    <row r="18" spans="1:3" ht="18">
      <c r="A18" s="147">
        <v>39835</v>
      </c>
      <c r="B18" s="148" t="s">
        <v>227</v>
      </c>
      <c r="C18" s="149" t="s">
        <v>204</v>
      </c>
    </row>
    <row r="19" spans="1:3" ht="18">
      <c r="A19" s="147">
        <v>39835</v>
      </c>
      <c r="B19" s="148" t="s">
        <v>228</v>
      </c>
      <c r="C19" s="149" t="s">
        <v>204</v>
      </c>
    </row>
    <row r="20" spans="1:3" ht="18">
      <c r="A20" s="152">
        <v>39835</v>
      </c>
      <c r="B20" s="137" t="s">
        <v>394</v>
      </c>
      <c r="C20" s="138" t="s">
        <v>204</v>
      </c>
    </row>
    <row r="21" spans="1:3" ht="36">
      <c r="A21" s="152">
        <v>39835</v>
      </c>
      <c r="B21" s="137" t="s">
        <v>395</v>
      </c>
      <c r="C21" s="138" t="s">
        <v>204</v>
      </c>
    </row>
    <row r="22" spans="1:3" ht="36">
      <c r="A22" s="152">
        <v>40115</v>
      </c>
      <c r="B22" s="137" t="s">
        <v>232</v>
      </c>
      <c r="C22" s="138" t="s">
        <v>204</v>
      </c>
    </row>
    <row r="23" spans="1:3" ht="18">
      <c r="A23" s="152">
        <v>40115</v>
      </c>
      <c r="B23" s="137" t="s">
        <v>233</v>
      </c>
      <c r="C23" s="138" t="s">
        <v>204</v>
      </c>
    </row>
    <row r="24" spans="1:3" ht="18">
      <c r="A24" s="152">
        <v>40115</v>
      </c>
      <c r="B24" s="137" t="s">
        <v>234</v>
      </c>
      <c r="C24" s="138" t="s">
        <v>204</v>
      </c>
    </row>
    <row r="25" spans="1:3" ht="72">
      <c r="A25" s="152">
        <v>40115</v>
      </c>
      <c r="B25" s="137" t="s">
        <v>235</v>
      </c>
      <c r="C25" s="138" t="s">
        <v>204</v>
      </c>
    </row>
    <row r="26" spans="1:3" ht="36">
      <c r="A26" s="152">
        <v>40256</v>
      </c>
      <c r="B26" s="137" t="s">
        <v>281</v>
      </c>
      <c r="C26" s="138" t="s">
        <v>204</v>
      </c>
    </row>
    <row r="27" spans="1:3" ht="72">
      <c r="A27" s="152">
        <v>40256</v>
      </c>
      <c r="B27" s="137" t="s">
        <v>282</v>
      </c>
      <c r="C27" s="138" t="s">
        <v>204</v>
      </c>
    </row>
    <row r="28" spans="1:3" ht="54">
      <c r="A28" s="152">
        <v>40423</v>
      </c>
      <c r="B28" s="137" t="s">
        <v>352</v>
      </c>
      <c r="C28" s="138" t="s">
        <v>204</v>
      </c>
    </row>
    <row r="29" spans="1:3" ht="36">
      <c r="A29" s="152">
        <v>40423</v>
      </c>
      <c r="B29" s="137" t="s">
        <v>353</v>
      </c>
      <c r="C29" s="138" t="s">
        <v>204</v>
      </c>
    </row>
    <row r="30" spans="1:3" ht="36">
      <c r="A30" s="152">
        <v>40423</v>
      </c>
      <c r="B30" s="137" t="s">
        <v>414</v>
      </c>
      <c r="C30" s="138" t="s">
        <v>204</v>
      </c>
    </row>
    <row r="31" spans="1:3" ht="36">
      <c r="A31" s="152">
        <v>40424</v>
      </c>
      <c r="B31" s="137" t="s">
        <v>393</v>
      </c>
      <c r="C31" s="138" t="s">
        <v>204</v>
      </c>
    </row>
    <row r="32" spans="1:3" ht="72">
      <c r="A32" s="152">
        <v>40424</v>
      </c>
      <c r="B32" s="137" t="s">
        <v>381</v>
      </c>
      <c r="C32" s="138" t="s">
        <v>204</v>
      </c>
    </row>
    <row r="33" spans="1:3" ht="54">
      <c r="A33" s="147">
        <v>40954</v>
      </c>
      <c r="B33" s="280" t="s">
        <v>417</v>
      </c>
      <c r="C33" s="281" t="s">
        <v>204</v>
      </c>
    </row>
    <row r="34" spans="1:3" ht="36">
      <c r="A34" s="282">
        <v>40954</v>
      </c>
      <c r="B34" s="280" t="s">
        <v>419</v>
      </c>
      <c r="C34" s="281"/>
    </row>
    <row r="35" spans="1:3" ht="18">
      <c r="A35" s="282">
        <v>40954</v>
      </c>
      <c r="B35" s="283" t="s">
        <v>418</v>
      </c>
      <c r="C35" s="281" t="s">
        <v>204</v>
      </c>
    </row>
    <row r="36" spans="1:3" ht="72">
      <c r="A36" s="282">
        <v>40954</v>
      </c>
      <c r="B36" s="283" t="s">
        <v>453</v>
      </c>
      <c r="C36" s="281" t="s">
        <v>204</v>
      </c>
    </row>
    <row r="37" spans="1:3" ht="54">
      <c r="A37" s="152">
        <v>41005</v>
      </c>
      <c r="B37" s="137" t="s">
        <v>586</v>
      </c>
      <c r="C37" s="138" t="s">
        <v>204</v>
      </c>
    </row>
    <row r="38" spans="1:3" ht="18">
      <c r="A38" s="147">
        <v>41057</v>
      </c>
      <c r="B38" s="283" t="s">
        <v>456</v>
      </c>
      <c r="C38" s="281" t="s">
        <v>204</v>
      </c>
    </row>
    <row r="39" spans="1:3" ht="18">
      <c r="A39" s="147">
        <v>41078</v>
      </c>
      <c r="B39" s="283" t="s">
        <v>538</v>
      </c>
      <c r="C39" s="281" t="s">
        <v>204</v>
      </c>
    </row>
    <row r="40" spans="1:3" ht="18">
      <c r="A40" s="147">
        <v>41078</v>
      </c>
      <c r="B40" s="283" t="s">
        <v>540</v>
      </c>
      <c r="C40" s="281" t="s">
        <v>204</v>
      </c>
    </row>
    <row r="41" spans="1:3" ht="36">
      <c r="A41" s="147">
        <v>41078</v>
      </c>
      <c r="B41" s="283" t="s">
        <v>544</v>
      </c>
      <c r="C41" s="281" t="s">
        <v>204</v>
      </c>
    </row>
    <row r="42" spans="1:3" ht="36">
      <c r="A42" s="147">
        <v>41078</v>
      </c>
      <c r="B42" s="283" t="s">
        <v>541</v>
      </c>
      <c r="C42" s="281" t="s">
        <v>204</v>
      </c>
    </row>
    <row r="43" spans="1:3" ht="36">
      <c r="A43" s="147">
        <v>41078</v>
      </c>
      <c r="B43" s="280" t="s">
        <v>539</v>
      </c>
      <c r="C43" s="281" t="s">
        <v>204</v>
      </c>
    </row>
    <row r="44" spans="1:3" ht="18">
      <c r="A44" s="147">
        <v>41078</v>
      </c>
      <c r="B44" s="283" t="s">
        <v>542</v>
      </c>
      <c r="C44" s="281" t="s">
        <v>204</v>
      </c>
    </row>
    <row r="45" spans="1:3" ht="72">
      <c r="A45" s="282">
        <v>41078</v>
      </c>
      <c r="B45" s="283" t="s">
        <v>543</v>
      </c>
      <c r="C45" s="294" t="s">
        <v>204</v>
      </c>
    </row>
    <row r="46" spans="1:3" ht="18">
      <c r="A46" s="295">
        <v>41134</v>
      </c>
      <c r="B46" s="137" t="s">
        <v>565</v>
      </c>
      <c r="C46" s="138" t="s">
        <v>204</v>
      </c>
    </row>
    <row r="47" spans="1:3" ht="18">
      <c r="A47" s="301">
        <v>41323</v>
      </c>
      <c r="B47" s="280" t="s">
        <v>568</v>
      </c>
      <c r="C47" s="302" t="s">
        <v>204</v>
      </c>
    </row>
    <row r="48" spans="1:3" ht="18">
      <c r="A48" s="301">
        <v>41323</v>
      </c>
      <c r="B48" s="280" t="s">
        <v>569</v>
      </c>
      <c r="C48" s="302" t="s">
        <v>204</v>
      </c>
    </row>
    <row r="49" spans="1:3" ht="18">
      <c r="A49" s="301">
        <v>41323</v>
      </c>
      <c r="B49" s="280" t="s">
        <v>570</v>
      </c>
      <c r="C49" s="302" t="s">
        <v>204</v>
      </c>
    </row>
    <row r="50" spans="1:3" ht="72">
      <c r="A50" s="301">
        <v>41323</v>
      </c>
      <c r="B50" s="283" t="s">
        <v>571</v>
      </c>
      <c r="C50" s="303" t="s">
        <v>204</v>
      </c>
    </row>
    <row r="51" spans="1:3" ht="18">
      <c r="A51" s="147">
        <v>41535</v>
      </c>
      <c r="B51" s="283" t="s">
        <v>595</v>
      </c>
      <c r="C51" s="281" t="s">
        <v>204</v>
      </c>
    </row>
    <row r="52" spans="1:3" ht="36">
      <c r="A52" s="147">
        <v>41535</v>
      </c>
      <c r="B52" s="184" t="s">
        <v>596</v>
      </c>
      <c r="C52" s="341" t="s">
        <v>204</v>
      </c>
    </row>
    <row r="53" spans="1:3" ht="18">
      <c r="A53" s="147">
        <v>41535</v>
      </c>
      <c r="B53" s="184" t="s">
        <v>597</v>
      </c>
      <c r="C53" s="341" t="s">
        <v>204</v>
      </c>
    </row>
    <row r="54" spans="1:3" ht="18">
      <c r="A54" s="147">
        <v>41535</v>
      </c>
      <c r="B54" s="184" t="s">
        <v>598</v>
      </c>
      <c r="C54" s="341" t="s">
        <v>204</v>
      </c>
    </row>
    <row r="55" spans="1:3" ht="36">
      <c r="A55" s="147">
        <v>41535</v>
      </c>
      <c r="B55" s="137" t="s">
        <v>645</v>
      </c>
      <c r="C55" s="138" t="s">
        <v>204</v>
      </c>
    </row>
    <row r="56" spans="1:3" ht="72">
      <c r="A56" s="152">
        <v>41535</v>
      </c>
      <c r="B56" s="283" t="s">
        <v>659</v>
      </c>
      <c r="C56" s="138" t="s">
        <v>204</v>
      </c>
    </row>
    <row r="57" spans="1:3" ht="18">
      <c r="A57" s="152">
        <v>41789</v>
      </c>
      <c r="B57" s="137" t="s">
        <v>753</v>
      </c>
      <c r="C57" s="138" t="s">
        <v>204</v>
      </c>
    </row>
    <row r="58" spans="1:3" ht="36">
      <c r="A58" s="418">
        <v>41789</v>
      </c>
      <c r="B58" s="419" t="s">
        <v>754</v>
      </c>
      <c r="C58" s="420" t="s">
        <v>204</v>
      </c>
    </row>
    <row r="59" spans="1:3" ht="18">
      <c r="A59" s="418">
        <v>41789</v>
      </c>
      <c r="B59" s="184" t="s">
        <v>756</v>
      </c>
      <c r="C59" s="420" t="s">
        <v>204</v>
      </c>
    </row>
    <row r="60" spans="1:3" ht="72">
      <c r="A60" s="418">
        <v>41789</v>
      </c>
      <c r="B60" s="283" t="s">
        <v>755</v>
      </c>
      <c r="C60" s="420" t="s">
        <v>204</v>
      </c>
    </row>
    <row r="61" spans="1:3" ht="18">
      <c r="A61" s="152">
        <v>41795</v>
      </c>
      <c r="B61" s="137" t="s">
        <v>758</v>
      </c>
      <c r="C61" s="138" t="s">
        <v>204</v>
      </c>
    </row>
    <row r="62" spans="1:3" ht="18">
      <c r="A62" s="428">
        <v>41795</v>
      </c>
      <c r="B62" s="184" t="s">
        <v>756</v>
      </c>
      <c r="C62" s="429" t="s">
        <v>204</v>
      </c>
    </row>
    <row r="63" spans="1:3" ht="72">
      <c r="A63" s="428">
        <v>41795</v>
      </c>
      <c r="B63" s="283" t="s">
        <v>853</v>
      </c>
      <c r="C63" s="429" t="s">
        <v>204</v>
      </c>
    </row>
    <row r="64" spans="1:3" ht="36">
      <c r="A64" s="152">
        <v>41796</v>
      </c>
      <c r="B64" s="137" t="s">
        <v>828</v>
      </c>
      <c r="C64" s="138" t="s">
        <v>204</v>
      </c>
    </row>
    <row r="65" spans="1:3" ht="36">
      <c r="A65" s="152">
        <v>41796</v>
      </c>
      <c r="B65" s="137" t="s">
        <v>854</v>
      </c>
      <c r="C65" s="138"/>
    </row>
    <row r="66" spans="1:3" ht="18">
      <c r="A66" s="152">
        <v>41796</v>
      </c>
      <c r="B66" s="184" t="s">
        <v>756</v>
      </c>
      <c r="C66" s="429" t="s">
        <v>204</v>
      </c>
    </row>
    <row r="67" spans="1:3" ht="72">
      <c r="A67" s="152">
        <v>41796</v>
      </c>
      <c r="B67" s="283" t="s">
        <v>855</v>
      </c>
      <c r="C67" s="429" t="s">
        <v>204</v>
      </c>
    </row>
    <row r="68" spans="1:3" ht="36">
      <c r="A68" s="152">
        <v>41802</v>
      </c>
      <c r="B68" s="137" t="s">
        <v>860</v>
      </c>
      <c r="C68" s="138" t="s">
        <v>204</v>
      </c>
    </row>
    <row r="69" spans="1:3" ht="18">
      <c r="A69" s="152">
        <v>41802</v>
      </c>
      <c r="B69" s="184" t="s">
        <v>756</v>
      </c>
      <c r="C69" s="138" t="s">
        <v>204</v>
      </c>
    </row>
    <row r="70" spans="1:3" ht="72">
      <c r="A70" s="152">
        <v>41802</v>
      </c>
      <c r="B70" s="283" t="s">
        <v>861</v>
      </c>
      <c r="C70" s="138" t="s">
        <v>204</v>
      </c>
    </row>
    <row r="71" spans="1:3" ht="36">
      <c r="A71" s="436">
        <v>41820</v>
      </c>
      <c r="B71" s="137" t="s">
        <v>866</v>
      </c>
      <c r="C71" s="138" t="s">
        <v>204</v>
      </c>
    </row>
    <row r="72" spans="1:3" ht="36">
      <c r="A72" s="443">
        <v>41820</v>
      </c>
      <c r="B72" s="444" t="s">
        <v>868</v>
      </c>
      <c r="C72" s="445" t="s">
        <v>204</v>
      </c>
    </row>
    <row r="73" spans="1:3" ht="18">
      <c r="A73" s="443">
        <v>41820</v>
      </c>
      <c r="B73" s="444" t="s">
        <v>867</v>
      </c>
      <c r="C73" s="445" t="s">
        <v>204</v>
      </c>
    </row>
    <row r="74" spans="1:3" ht="18">
      <c r="A74" s="443">
        <v>41793</v>
      </c>
      <c r="B74" s="184" t="s">
        <v>756</v>
      </c>
      <c r="C74" s="138" t="s">
        <v>204</v>
      </c>
    </row>
    <row r="75" spans="1:3" ht="72">
      <c r="A75" s="442">
        <v>41820</v>
      </c>
      <c r="B75" s="283" t="s">
        <v>869</v>
      </c>
      <c r="C75" s="138" t="s">
        <v>204</v>
      </c>
    </row>
    <row r="76" spans="1:3" ht="18">
      <c r="A76" s="446">
        <v>41941</v>
      </c>
      <c r="B76" s="447" t="s">
        <v>870</v>
      </c>
      <c r="C76" s="448" t="s">
        <v>204</v>
      </c>
    </row>
    <row r="77" spans="1:3" ht="36">
      <c r="A77" s="449">
        <v>41983</v>
      </c>
      <c r="B77" s="184" t="s">
        <v>871</v>
      </c>
      <c r="C77" s="341" t="s">
        <v>204</v>
      </c>
    </row>
    <row r="78" spans="1:3" ht="54">
      <c r="A78" s="152">
        <v>41983</v>
      </c>
      <c r="B78" s="137" t="s">
        <v>872</v>
      </c>
      <c r="C78" s="138" t="s">
        <v>204</v>
      </c>
    </row>
    <row r="79" spans="1:3" ht="18">
      <c r="A79" s="152">
        <v>41983</v>
      </c>
      <c r="B79" s="184" t="s">
        <v>756</v>
      </c>
      <c r="C79" s="138" t="s">
        <v>204</v>
      </c>
    </row>
    <row r="80" spans="1:3" ht="72">
      <c r="A80" s="449">
        <v>41983</v>
      </c>
      <c r="B80" s="283" t="s">
        <v>875</v>
      </c>
      <c r="C80" s="341" t="s">
        <v>204</v>
      </c>
    </row>
    <row r="81" spans="1:3" ht="18">
      <c r="A81" s="152"/>
      <c r="B81" s="137"/>
      <c r="C81" s="138"/>
    </row>
  </sheetData>
  <sheetProtection password="83AF" sheet="1" objects="1" scenarios="1" selectLockedCells="1" selectUnlockedCells="1"/>
  <printOptions horizontalCentered="1"/>
  <pageMargins left="0.5" right="0.5" top="1.25" bottom="0.75" header="0.75" footer="0.5"/>
  <pageSetup cellComments="asDisplayed" horizontalDpi="600" verticalDpi="600" orientation="portrait" r:id="rId2"/>
  <headerFooter alignWithMargins="0">
    <oddHeader>&amp;L&amp;"Trebuchet MS,Regular"Gravimetric Calibration of Volumetric Ware
Using an Electronic Balance&amp;R&amp;"Trebuchet MS,Regular"WAMRF-005, Rev. 30, 12/10/2014</oddHeader>
    <oddFooter>&amp;L&amp;"Trebuchet MS,Regular"&amp;F&amp;R&amp;"Trebuchet MS,Regular"&amp;A Worksheet Page &amp;P of &amp;N</oddFooter>
  </headerFooter>
  <tableParts>
    <tablePart r:id="rId1"/>
  </tableParts>
</worksheet>
</file>

<file path=xl/worksheets/sheet3.xml><?xml version="1.0" encoding="utf-8"?>
<worksheet xmlns="http://schemas.openxmlformats.org/spreadsheetml/2006/main" xmlns:r="http://schemas.openxmlformats.org/officeDocument/2006/relationships">
  <sheetPr>
    <tabColor rgb="FFC00000"/>
  </sheetPr>
  <dimension ref="A1:A1"/>
  <sheetViews>
    <sheetView showGridLines="0" zoomScalePageLayoutView="0" workbookViewId="0" topLeftCell="A1">
      <selection activeCell="A1" sqref="A1"/>
    </sheetView>
  </sheetViews>
  <sheetFormatPr defaultColWidth="0" defaultRowHeight="15.75" zeroHeight="1"/>
  <cols>
    <col min="1" max="1" width="3.77734375" style="0" customWidth="1"/>
    <col min="2" max="9" width="9.21484375" style="0" customWidth="1"/>
    <col min="10" max="16384" width="9.21484375" style="0" hidden="1" customWidth="1"/>
  </cols>
  <sheetData>
    <row r="1" ht="15.75"/>
    <row r="2" ht="15.75"/>
    <row r="3" ht="15.75"/>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row r="40" ht="15.75" hidden="1"/>
    <row r="41" ht="15.75" hidden="1"/>
    <row r="42" ht="15.75" hidden="1"/>
  </sheetData>
  <sheetProtection password="83AF" sheet="1" objects="1" scenarios="1"/>
  <printOptions horizontalCentered="1" verticalCentered="1"/>
  <pageMargins left="0.45" right="0.45" top="0.75" bottom="0.75" header="0.3" footer="0.3"/>
  <pageSetup horizontalDpi="1200" verticalDpi="1200" orientation="portrait" r:id="rId5"/>
  <headerFooter>
    <oddHeader>&amp;L&amp;"Trebuchet MS,Regular"Gravimetric Calibration of Volumetric Ware
Using an Electronic Balance&amp;R&amp;"Trebuchet MS,Regular"WAMRF-005, Rev. 30, 12/10/2014</oddHeader>
    <oddFooter>&amp;L&amp;"Trebuchet MS,Regular"&amp;F&amp;R&amp;"Trebuchet MS,Regular"&amp;A Workbook Page &amp;P of &amp;N</oddFooter>
  </headerFooter>
  <drawing r:id="rId4"/>
  <legacyDrawing r:id="rId3"/>
  <oleObjects>
    <oleObject progId="Acrobat Document" shapeId="1313988" r:id="rId2"/>
  </oleObjects>
</worksheet>
</file>

<file path=xl/worksheets/sheet4.xml><?xml version="1.0" encoding="utf-8"?>
<worksheet xmlns="http://schemas.openxmlformats.org/spreadsheetml/2006/main" xmlns:r="http://schemas.openxmlformats.org/officeDocument/2006/relationships">
  <sheetPr>
    <tabColor rgb="FF00B0F0"/>
  </sheetPr>
  <dimension ref="A1:F149"/>
  <sheetViews>
    <sheetView showGridLines="0" showZeros="0" tabSelected="1" showOutlineSymbols="0" zoomScalePageLayoutView="0" workbookViewId="0" topLeftCell="A1">
      <selection activeCell="A1" sqref="A1:B1"/>
    </sheetView>
  </sheetViews>
  <sheetFormatPr defaultColWidth="0" defaultRowHeight="15.75"/>
  <cols>
    <col min="1" max="1" width="17.21484375" style="150" customWidth="1"/>
    <col min="2" max="2" width="54.99609375" style="131" customWidth="1"/>
    <col min="3" max="3" width="3.77734375" style="131" customWidth="1"/>
    <col min="4" max="7" width="9.77734375" style="131" hidden="1" customWidth="1"/>
    <col min="8" max="9" width="9.10546875" style="131" hidden="1" customWidth="1"/>
    <col min="10" max="16384" width="8.88671875" style="131" hidden="1" customWidth="1"/>
  </cols>
  <sheetData>
    <row r="1" spans="1:2" ht="20.25" thickBot="1">
      <c r="A1" s="465" t="s">
        <v>283</v>
      </c>
      <c r="B1" s="465"/>
    </row>
    <row r="2" spans="1:2" ht="18">
      <c r="A2" s="178" t="s">
        <v>277</v>
      </c>
      <c r="B2" s="179" t="s">
        <v>10</v>
      </c>
    </row>
    <row r="3" spans="1:2" ht="72">
      <c r="A3" s="191">
        <v>1</v>
      </c>
      <c r="B3" s="137" t="s">
        <v>412</v>
      </c>
    </row>
    <row r="4" spans="1:2" ht="36">
      <c r="A4" s="191">
        <v>2</v>
      </c>
      <c r="B4" s="137" t="s">
        <v>349</v>
      </c>
    </row>
    <row r="5" spans="1:2" ht="72">
      <c r="A5" s="191">
        <v>3</v>
      </c>
      <c r="B5" s="137" t="s">
        <v>649</v>
      </c>
    </row>
    <row r="6" spans="1:2" ht="18">
      <c r="A6" s="191">
        <v>4</v>
      </c>
      <c r="B6" s="137" t="s">
        <v>650</v>
      </c>
    </row>
    <row r="7" spans="1:2" ht="36">
      <c r="A7" s="191">
        <v>5</v>
      </c>
      <c r="B7" s="137" t="s">
        <v>278</v>
      </c>
    </row>
    <row r="8" spans="1:2" ht="36">
      <c r="A8" s="192">
        <v>6</v>
      </c>
      <c r="B8" s="184" t="s">
        <v>350</v>
      </c>
    </row>
    <row r="9" spans="1:2" ht="72">
      <c r="A9" s="192">
        <v>7</v>
      </c>
      <c r="B9" s="184" t="s">
        <v>351</v>
      </c>
    </row>
    <row r="10" spans="1:6" ht="24.75" customHeight="1">
      <c r="A10" s="192">
        <v>8</v>
      </c>
      <c r="B10" s="184" t="s">
        <v>545</v>
      </c>
      <c r="C10" s="134"/>
      <c r="D10" s="134"/>
      <c r="E10" s="134"/>
      <c r="F10" s="134"/>
    </row>
    <row r="11" spans="1:2" ht="19.5">
      <c r="A11" s="466" t="s">
        <v>231</v>
      </c>
      <c r="B11" s="466"/>
    </row>
    <row r="12" spans="1:2" ht="18">
      <c r="A12" s="180" t="s">
        <v>229</v>
      </c>
      <c r="B12" s="182" t="s">
        <v>230</v>
      </c>
    </row>
    <row r="13" spans="1:2" ht="18">
      <c r="A13" s="181" t="s">
        <v>241</v>
      </c>
      <c r="B13" s="181" t="s">
        <v>600</v>
      </c>
    </row>
    <row r="14" spans="1:2" ht="18">
      <c r="A14" s="183" t="s">
        <v>490</v>
      </c>
      <c r="B14" s="183" t="s">
        <v>779</v>
      </c>
    </row>
    <row r="15" spans="1:2" ht="18">
      <c r="A15" s="183" t="s">
        <v>491</v>
      </c>
      <c r="B15" s="183" t="s">
        <v>834</v>
      </c>
    </row>
    <row r="16" spans="1:2" ht="18">
      <c r="A16" s="183" t="s">
        <v>492</v>
      </c>
      <c r="B16" s="183" t="s">
        <v>780</v>
      </c>
    </row>
    <row r="17" spans="1:2" ht="18">
      <c r="A17" s="183" t="s">
        <v>493</v>
      </c>
      <c r="B17" s="183" t="s">
        <v>835</v>
      </c>
    </row>
    <row r="18" spans="1:2" ht="18">
      <c r="A18" s="183" t="s">
        <v>494</v>
      </c>
      <c r="B18" s="183" t="s">
        <v>782</v>
      </c>
    </row>
    <row r="19" spans="1:2" ht="18">
      <c r="A19" s="183" t="s">
        <v>495</v>
      </c>
      <c r="B19" s="183" t="s">
        <v>836</v>
      </c>
    </row>
    <row r="20" spans="1:2" ht="18">
      <c r="A20" s="183" t="s">
        <v>496</v>
      </c>
      <c r="B20" s="183" t="s">
        <v>837</v>
      </c>
    </row>
    <row r="21" spans="1:2" ht="18">
      <c r="A21" s="183" t="s">
        <v>497</v>
      </c>
      <c r="B21" s="183" t="s">
        <v>838</v>
      </c>
    </row>
    <row r="22" spans="1:2" ht="18">
      <c r="A22" s="183" t="s">
        <v>243</v>
      </c>
      <c r="B22" s="183" t="s">
        <v>610</v>
      </c>
    </row>
    <row r="23" spans="1:2" ht="18">
      <c r="A23" s="183" t="s">
        <v>602</v>
      </c>
      <c r="B23" s="183" t="s">
        <v>785</v>
      </c>
    </row>
    <row r="24" spans="1:2" ht="18">
      <c r="A24" s="183" t="s">
        <v>603</v>
      </c>
      <c r="B24" s="183" t="s">
        <v>786</v>
      </c>
    </row>
    <row r="25" spans="1:2" ht="18">
      <c r="A25" s="183" t="s">
        <v>605</v>
      </c>
      <c r="B25" s="183" t="s">
        <v>787</v>
      </c>
    </row>
    <row r="26" spans="1:2" ht="18">
      <c r="A26" s="183" t="s">
        <v>244</v>
      </c>
      <c r="B26" s="183" t="s">
        <v>788</v>
      </c>
    </row>
    <row r="27" spans="1:2" ht="18">
      <c r="A27" s="183" t="s">
        <v>245</v>
      </c>
      <c r="B27" s="183" t="s">
        <v>653</v>
      </c>
    </row>
    <row r="28" spans="1:2" ht="18">
      <c r="A28" s="183" t="s">
        <v>246</v>
      </c>
      <c r="B28" s="183" t="s">
        <v>606</v>
      </c>
    </row>
    <row r="29" spans="1:2" ht="18">
      <c r="A29" s="183" t="s">
        <v>247</v>
      </c>
      <c r="B29" s="183" t="s">
        <v>607</v>
      </c>
    </row>
    <row r="30" spans="1:2" ht="18">
      <c r="A30" s="183" t="s">
        <v>248</v>
      </c>
      <c r="B30" s="183" t="s">
        <v>789</v>
      </c>
    </row>
    <row r="31" spans="1:2" ht="18">
      <c r="A31" s="183" t="s">
        <v>722</v>
      </c>
      <c r="B31" s="183" t="s">
        <v>790</v>
      </c>
    </row>
    <row r="32" spans="1:2" ht="18">
      <c r="A32" s="183" t="s">
        <v>723</v>
      </c>
      <c r="B32" s="183" t="s">
        <v>791</v>
      </c>
    </row>
    <row r="33" spans="1:2" ht="18">
      <c r="A33" s="183" t="s">
        <v>249</v>
      </c>
      <c r="B33" s="183" t="s">
        <v>608</v>
      </c>
    </row>
    <row r="34" spans="1:2" ht="18">
      <c r="A34" s="183" t="s">
        <v>10</v>
      </c>
      <c r="B34" s="183" t="s">
        <v>250</v>
      </c>
    </row>
    <row r="35" spans="1:2" ht="18">
      <c r="A35" s="183" t="s">
        <v>609</v>
      </c>
      <c r="B35" s="183" t="s">
        <v>444</v>
      </c>
    </row>
    <row r="36" spans="1:2" ht="18">
      <c r="A36" s="183" t="s">
        <v>148</v>
      </c>
      <c r="B36" s="183" t="s">
        <v>604</v>
      </c>
    </row>
    <row r="37" spans="1:2" ht="18">
      <c r="A37" s="183" t="s">
        <v>724</v>
      </c>
      <c r="B37" s="183" t="s">
        <v>792</v>
      </c>
    </row>
    <row r="38" spans="1:2" ht="18">
      <c r="A38" s="183" t="s">
        <v>725</v>
      </c>
      <c r="B38" s="183" t="s">
        <v>793</v>
      </c>
    </row>
    <row r="39" spans="1:2" ht="18">
      <c r="A39" s="183" t="s">
        <v>612</v>
      </c>
      <c r="B39" s="183" t="s">
        <v>839</v>
      </c>
    </row>
    <row r="40" spans="1:2" ht="18">
      <c r="A40" s="183" t="s">
        <v>726</v>
      </c>
      <c r="B40" s="183" t="s">
        <v>840</v>
      </c>
    </row>
    <row r="41" spans="1:2" ht="18">
      <c r="A41" s="183" t="s">
        <v>727</v>
      </c>
      <c r="B41" s="183" t="s">
        <v>841</v>
      </c>
    </row>
    <row r="42" spans="1:2" ht="18">
      <c r="A42" s="183" t="s">
        <v>251</v>
      </c>
      <c r="B42" s="183" t="s">
        <v>794</v>
      </c>
    </row>
    <row r="43" spans="1:2" ht="18">
      <c r="A43" s="183" t="s">
        <v>252</v>
      </c>
      <c r="B43" s="183" t="s">
        <v>795</v>
      </c>
    </row>
    <row r="44" spans="1:2" ht="18">
      <c r="A44" s="183" t="s">
        <v>445</v>
      </c>
      <c r="B44" s="183" t="s">
        <v>633</v>
      </c>
    </row>
    <row r="45" spans="1:2" ht="18">
      <c r="A45" s="183" t="s">
        <v>728</v>
      </c>
      <c r="B45" s="183" t="s">
        <v>842</v>
      </c>
    </row>
    <row r="46" spans="1:2" ht="18">
      <c r="A46" s="183" t="s">
        <v>729</v>
      </c>
      <c r="B46" s="183" t="s">
        <v>796</v>
      </c>
    </row>
    <row r="47" spans="1:2" ht="18">
      <c r="A47" s="183" t="s">
        <v>730</v>
      </c>
      <c r="B47" s="183" t="s">
        <v>797</v>
      </c>
    </row>
    <row r="48" spans="1:2" ht="18">
      <c r="A48" s="183" t="s">
        <v>762</v>
      </c>
      <c r="B48" s="183" t="s">
        <v>798</v>
      </c>
    </row>
    <row r="49" spans="1:2" ht="18">
      <c r="A49" s="183" t="s">
        <v>39</v>
      </c>
      <c r="B49" s="183" t="s">
        <v>253</v>
      </c>
    </row>
    <row r="50" spans="1:2" ht="18">
      <c r="A50" s="183" t="s">
        <v>615</v>
      </c>
      <c r="B50" s="183" t="s">
        <v>654</v>
      </c>
    </row>
    <row r="51" spans="1:2" ht="18">
      <c r="A51" s="183" t="s">
        <v>731</v>
      </c>
      <c r="B51" s="183" t="s">
        <v>824</v>
      </c>
    </row>
    <row r="52" spans="1:2" ht="18">
      <c r="A52" s="183" t="s">
        <v>732</v>
      </c>
      <c r="B52" s="183" t="s">
        <v>843</v>
      </c>
    </row>
    <row r="53" spans="1:2" ht="18">
      <c r="A53" s="183" t="s">
        <v>254</v>
      </c>
      <c r="B53" s="183" t="s">
        <v>255</v>
      </c>
    </row>
    <row r="54" spans="1:2" ht="18">
      <c r="A54" s="183" t="s">
        <v>733</v>
      </c>
      <c r="B54" s="183" t="s">
        <v>404</v>
      </c>
    </row>
    <row r="55" spans="1:2" ht="18">
      <c r="A55" s="183" t="s">
        <v>734</v>
      </c>
      <c r="B55" s="183" t="s">
        <v>799</v>
      </c>
    </row>
    <row r="56" spans="1:2" ht="18">
      <c r="A56" s="183" t="s">
        <v>735</v>
      </c>
      <c r="B56" s="183" t="s">
        <v>403</v>
      </c>
    </row>
    <row r="57" spans="1:2" ht="18">
      <c r="A57" s="183" t="s">
        <v>736</v>
      </c>
      <c r="B57" s="183" t="s">
        <v>800</v>
      </c>
    </row>
    <row r="58" spans="1:2" ht="18">
      <c r="A58" s="183" t="s">
        <v>801</v>
      </c>
      <c r="B58" s="183" t="s">
        <v>802</v>
      </c>
    </row>
    <row r="59" spans="1:2" ht="18">
      <c r="A59" s="183" t="s">
        <v>616</v>
      </c>
      <c r="B59" s="183" t="s">
        <v>446</v>
      </c>
    </row>
    <row r="60" spans="1:2" ht="18">
      <c r="A60" s="183" t="s">
        <v>256</v>
      </c>
      <c r="B60" s="183" t="s">
        <v>242</v>
      </c>
    </row>
    <row r="61" spans="1:2" ht="18">
      <c r="A61" s="183" t="s">
        <v>30</v>
      </c>
      <c r="B61" s="183" t="s">
        <v>405</v>
      </c>
    </row>
    <row r="62" spans="1:2" ht="18">
      <c r="A62" s="183" t="s">
        <v>549</v>
      </c>
      <c r="B62" s="183" t="s">
        <v>550</v>
      </c>
    </row>
    <row r="63" spans="1:2" ht="18">
      <c r="A63" s="183" t="s">
        <v>551</v>
      </c>
      <c r="B63" s="183" t="s">
        <v>552</v>
      </c>
    </row>
    <row r="64" spans="1:2" ht="18">
      <c r="A64" s="183" t="s">
        <v>553</v>
      </c>
      <c r="B64" s="183" t="s">
        <v>554</v>
      </c>
    </row>
    <row r="65" spans="1:2" ht="18">
      <c r="A65" s="183" t="s">
        <v>555</v>
      </c>
      <c r="B65" s="183" t="s">
        <v>556</v>
      </c>
    </row>
    <row r="66" spans="1:2" ht="18">
      <c r="A66" s="183" t="s">
        <v>557</v>
      </c>
      <c r="B66" s="183" t="s">
        <v>558</v>
      </c>
    </row>
    <row r="67" spans="1:2" ht="18">
      <c r="A67" s="183" t="s">
        <v>559</v>
      </c>
      <c r="B67" s="183" t="s">
        <v>560</v>
      </c>
    </row>
    <row r="68" spans="1:2" ht="18">
      <c r="A68" s="183" t="s">
        <v>561</v>
      </c>
      <c r="B68" s="183" t="s">
        <v>562</v>
      </c>
    </row>
    <row r="69" spans="1:2" ht="18">
      <c r="A69" s="183" t="s">
        <v>564</v>
      </c>
      <c r="B69" s="183" t="s">
        <v>563</v>
      </c>
    </row>
    <row r="70" spans="1:2" ht="18">
      <c r="A70" s="183" t="s">
        <v>258</v>
      </c>
      <c r="B70" s="183" t="s">
        <v>803</v>
      </c>
    </row>
    <row r="71" spans="1:2" ht="18">
      <c r="A71" s="183" t="s">
        <v>737</v>
      </c>
      <c r="B71" s="183" t="s">
        <v>844</v>
      </c>
    </row>
    <row r="72" spans="1:2" ht="18">
      <c r="A72" s="183" t="s">
        <v>499</v>
      </c>
      <c r="B72" s="183" t="s">
        <v>268</v>
      </c>
    </row>
    <row r="73" spans="1:2" ht="18">
      <c r="A73" s="183" t="s">
        <v>500</v>
      </c>
      <c r="B73" s="183" t="s">
        <v>237</v>
      </c>
    </row>
    <row r="74" spans="1:2" ht="18">
      <c r="A74" s="183" t="s">
        <v>501</v>
      </c>
      <c r="B74" s="183" t="s">
        <v>845</v>
      </c>
    </row>
    <row r="75" spans="1:2" ht="18">
      <c r="A75" s="183" t="s">
        <v>503</v>
      </c>
      <c r="B75" s="183" t="s">
        <v>529</v>
      </c>
    </row>
    <row r="76" spans="1:2" ht="18">
      <c r="A76" s="183" t="s">
        <v>505</v>
      </c>
      <c r="B76" s="183" t="s">
        <v>408</v>
      </c>
    </row>
    <row r="77" spans="1:2" ht="18">
      <c r="A77" s="183" t="s">
        <v>506</v>
      </c>
      <c r="B77" s="183" t="s">
        <v>257</v>
      </c>
    </row>
    <row r="78" spans="1:2" ht="18">
      <c r="A78" s="183" t="s">
        <v>508</v>
      </c>
      <c r="B78" s="183" t="s">
        <v>846</v>
      </c>
    </row>
    <row r="79" spans="1:2" ht="18">
      <c r="A79" s="183" t="s">
        <v>509</v>
      </c>
      <c r="B79" s="183" t="s">
        <v>847</v>
      </c>
    </row>
    <row r="80" spans="1:2" ht="18">
      <c r="A80" s="183" t="s">
        <v>259</v>
      </c>
      <c r="B80" s="183" t="s">
        <v>410</v>
      </c>
    </row>
    <row r="81" spans="1:2" ht="18">
      <c r="A81" s="183" t="s">
        <v>738</v>
      </c>
      <c r="B81" s="183" t="s">
        <v>805</v>
      </c>
    </row>
    <row r="82" spans="1:2" ht="18">
      <c r="A82" s="183" t="s">
        <v>739</v>
      </c>
      <c r="B82" s="183" t="s">
        <v>806</v>
      </c>
    </row>
    <row r="83" spans="1:2" ht="18">
      <c r="A83" s="183" t="s">
        <v>511</v>
      </c>
      <c r="B83" s="183" t="s">
        <v>238</v>
      </c>
    </row>
    <row r="84" spans="1:2" ht="18">
      <c r="A84" s="183" t="s">
        <v>512</v>
      </c>
      <c r="B84" s="183" t="s">
        <v>399</v>
      </c>
    </row>
    <row r="85" spans="1:2" ht="18">
      <c r="A85" s="183" t="s">
        <v>740</v>
      </c>
      <c r="B85" s="183" t="s">
        <v>848</v>
      </c>
    </row>
    <row r="86" spans="1:2" ht="18">
      <c r="A86" s="183" t="s">
        <v>617</v>
      </c>
      <c r="B86" s="183" t="s">
        <v>618</v>
      </c>
    </row>
    <row r="87" spans="1:2" ht="18">
      <c r="A87" s="183" t="s">
        <v>619</v>
      </c>
      <c r="B87" s="183" t="s">
        <v>620</v>
      </c>
    </row>
    <row r="88" spans="1:2" ht="18">
      <c r="A88" s="183" t="s">
        <v>621</v>
      </c>
      <c r="B88" s="183" t="s">
        <v>622</v>
      </c>
    </row>
    <row r="89" spans="1:2" ht="18">
      <c r="A89" s="183" t="s">
        <v>261</v>
      </c>
      <c r="B89" s="183" t="s">
        <v>498</v>
      </c>
    </row>
    <row r="90" spans="1:2" ht="18">
      <c r="A90" s="183" t="s">
        <v>741</v>
      </c>
      <c r="B90" s="183" t="s">
        <v>849</v>
      </c>
    </row>
    <row r="91" spans="1:2" ht="18">
      <c r="A91" s="183" t="s">
        <v>407</v>
      </c>
      <c r="B91" s="183" t="s">
        <v>655</v>
      </c>
    </row>
    <row r="92" spans="1:2" ht="18">
      <c r="A92" s="183" t="s">
        <v>742</v>
      </c>
      <c r="B92" s="183" t="s">
        <v>804</v>
      </c>
    </row>
    <row r="93" spans="1:2" ht="18">
      <c r="A93" s="183" t="s">
        <v>513</v>
      </c>
      <c r="B93" s="183" t="s">
        <v>400</v>
      </c>
    </row>
    <row r="94" spans="1:2" ht="18">
      <c r="A94" s="183" t="s">
        <v>514</v>
      </c>
      <c r="B94" s="183" t="s">
        <v>401</v>
      </c>
    </row>
    <row r="95" spans="1:2" ht="18">
      <c r="A95" s="183" t="s">
        <v>262</v>
      </c>
      <c r="B95" s="183" t="s">
        <v>623</v>
      </c>
    </row>
    <row r="96" spans="1:2" ht="18">
      <c r="A96" s="183" t="s">
        <v>263</v>
      </c>
      <c r="B96" s="183" t="s">
        <v>624</v>
      </c>
    </row>
    <row r="97" spans="1:2" ht="18">
      <c r="A97" s="183" t="s">
        <v>743</v>
      </c>
      <c r="B97" s="183" t="s">
        <v>611</v>
      </c>
    </row>
    <row r="98" spans="1:2" ht="18">
      <c r="A98" s="183" t="s">
        <v>744</v>
      </c>
      <c r="B98" s="183" t="s">
        <v>613</v>
      </c>
    </row>
    <row r="99" spans="1:2" ht="18">
      <c r="A99" s="183" t="s">
        <v>745</v>
      </c>
      <c r="B99" s="183" t="s">
        <v>614</v>
      </c>
    </row>
    <row r="100" spans="1:2" ht="18">
      <c r="A100" s="183" t="s">
        <v>636</v>
      </c>
      <c r="B100" s="183" t="s">
        <v>807</v>
      </c>
    </row>
    <row r="101" spans="1:2" ht="18">
      <c r="A101" s="183" t="s">
        <v>264</v>
      </c>
      <c r="B101" s="183" t="s">
        <v>625</v>
      </c>
    </row>
    <row r="102" spans="1:2" ht="18">
      <c r="A102" s="183" t="s">
        <v>808</v>
      </c>
      <c r="B102" s="183" t="s">
        <v>809</v>
      </c>
    </row>
    <row r="103" spans="1:2" ht="18">
      <c r="A103" s="183" t="s">
        <v>626</v>
      </c>
      <c r="B103" s="183" t="s">
        <v>447</v>
      </c>
    </row>
    <row r="104" spans="1:2" ht="18">
      <c r="A104" s="183" t="s">
        <v>265</v>
      </c>
      <c r="B104" s="183" t="s">
        <v>627</v>
      </c>
    </row>
    <row r="105" spans="1:2" ht="18">
      <c r="A105" s="183" t="s">
        <v>266</v>
      </c>
      <c r="B105" s="183" t="s">
        <v>628</v>
      </c>
    </row>
    <row r="106" spans="1:2" ht="18">
      <c r="A106" s="183" t="s">
        <v>629</v>
      </c>
      <c r="B106" s="183" t="s">
        <v>448</v>
      </c>
    </row>
    <row r="107" spans="1:2" ht="18">
      <c r="A107" s="183" t="s">
        <v>267</v>
      </c>
      <c r="B107" s="183" t="s">
        <v>272</v>
      </c>
    </row>
    <row r="108" spans="1:2" ht="18">
      <c r="A108" s="183" t="s">
        <v>515</v>
      </c>
      <c r="B108" s="183" t="s">
        <v>406</v>
      </c>
    </row>
    <row r="109" spans="1:2" ht="18">
      <c r="A109" s="183" t="s">
        <v>516</v>
      </c>
      <c r="B109" s="183" t="s">
        <v>236</v>
      </c>
    </row>
    <row r="110" spans="1:2" ht="18">
      <c r="A110" s="183" t="s">
        <v>517</v>
      </c>
      <c r="B110" s="183" t="s">
        <v>781</v>
      </c>
    </row>
    <row r="111" spans="1:2" ht="18">
      <c r="A111" s="183" t="s">
        <v>518</v>
      </c>
      <c r="B111" s="183" t="s">
        <v>504</v>
      </c>
    </row>
    <row r="112" spans="1:2" ht="18">
      <c r="A112" s="183" t="s">
        <v>519</v>
      </c>
      <c r="B112" s="183" t="s">
        <v>402</v>
      </c>
    </row>
    <row r="113" spans="1:2" ht="18">
      <c r="A113" s="183" t="s">
        <v>520</v>
      </c>
      <c r="B113" s="183" t="s">
        <v>507</v>
      </c>
    </row>
    <row r="114" spans="1:2" ht="18">
      <c r="A114" s="183" t="s">
        <v>521</v>
      </c>
      <c r="B114" s="183" t="s">
        <v>784</v>
      </c>
    </row>
    <row r="115" spans="1:2" ht="18">
      <c r="A115" s="183" t="s">
        <v>522</v>
      </c>
      <c r="B115" s="183" t="s">
        <v>850</v>
      </c>
    </row>
    <row r="116" spans="1:2" ht="18">
      <c r="A116" s="183" t="s">
        <v>269</v>
      </c>
      <c r="B116" s="183" t="s">
        <v>260</v>
      </c>
    </row>
    <row r="117" spans="1:2" ht="18">
      <c r="A117" s="183" t="s">
        <v>270</v>
      </c>
      <c r="B117" s="183" t="s">
        <v>810</v>
      </c>
    </row>
    <row r="118" spans="1:2" ht="18">
      <c r="A118" s="183" t="s">
        <v>630</v>
      </c>
      <c r="B118" s="183" t="s">
        <v>601</v>
      </c>
    </row>
    <row r="119" spans="1:2" ht="18">
      <c r="A119" s="183" t="s">
        <v>631</v>
      </c>
      <c r="B119" s="183" t="s">
        <v>449</v>
      </c>
    </row>
    <row r="120" spans="1:2" ht="18">
      <c r="A120" s="183" t="s">
        <v>632</v>
      </c>
      <c r="B120" s="183" t="s">
        <v>450</v>
      </c>
    </row>
    <row r="121" spans="1:2" ht="18">
      <c r="A121" s="183" t="s">
        <v>409</v>
      </c>
      <c r="B121" s="183" t="s">
        <v>811</v>
      </c>
    </row>
    <row r="122" spans="1:2" ht="18">
      <c r="A122" s="183" t="s">
        <v>523</v>
      </c>
      <c r="B122" s="183" t="s">
        <v>239</v>
      </c>
    </row>
    <row r="123" spans="1:2" ht="18">
      <c r="A123" s="183" t="s">
        <v>524</v>
      </c>
      <c r="B123" s="183" t="s">
        <v>240</v>
      </c>
    </row>
    <row r="124" spans="1:2" ht="18">
      <c r="A124" s="183" t="s">
        <v>271</v>
      </c>
      <c r="B124" s="183" t="s">
        <v>812</v>
      </c>
    </row>
    <row r="125" spans="1:2" ht="18">
      <c r="A125" s="183" t="s">
        <v>634</v>
      </c>
      <c r="B125" s="183" t="s">
        <v>451</v>
      </c>
    </row>
    <row r="126" spans="1:2" ht="18">
      <c r="A126" s="183" t="s">
        <v>525</v>
      </c>
      <c r="B126" s="183" t="s">
        <v>813</v>
      </c>
    </row>
    <row r="127" spans="1:2" ht="18">
      <c r="A127" s="183" t="s">
        <v>526</v>
      </c>
      <c r="B127" s="183" t="s">
        <v>814</v>
      </c>
    </row>
    <row r="128" spans="1:2" ht="18">
      <c r="A128" s="183" t="s">
        <v>527</v>
      </c>
      <c r="B128" s="183" t="s">
        <v>502</v>
      </c>
    </row>
    <row r="129" spans="1:2" ht="18">
      <c r="A129" s="183" t="s">
        <v>528</v>
      </c>
      <c r="B129" s="183" t="s">
        <v>815</v>
      </c>
    </row>
    <row r="130" spans="1:2" ht="18">
      <c r="A130" s="183" t="s">
        <v>530</v>
      </c>
      <c r="B130" s="183" t="s">
        <v>816</v>
      </c>
    </row>
    <row r="131" spans="1:2" ht="18">
      <c r="A131" s="183" t="s">
        <v>531</v>
      </c>
      <c r="B131" s="183" t="s">
        <v>817</v>
      </c>
    </row>
    <row r="132" spans="1:2" ht="18">
      <c r="A132" s="183" t="s">
        <v>532</v>
      </c>
      <c r="B132" s="183" t="s">
        <v>783</v>
      </c>
    </row>
    <row r="133" spans="1:2" ht="18">
      <c r="A133" s="183" t="s">
        <v>533</v>
      </c>
      <c r="B133" s="183" t="s">
        <v>510</v>
      </c>
    </row>
    <row r="134" spans="1:2" ht="18">
      <c r="A134" s="183" t="s">
        <v>746</v>
      </c>
      <c r="B134" s="183" t="s">
        <v>818</v>
      </c>
    </row>
    <row r="135" spans="1:2" ht="18">
      <c r="A135" s="183" t="s">
        <v>747</v>
      </c>
      <c r="B135" s="183" t="s">
        <v>819</v>
      </c>
    </row>
    <row r="136" spans="1:2" ht="18">
      <c r="A136" s="183" t="s">
        <v>637</v>
      </c>
      <c r="B136" s="183" t="s">
        <v>411</v>
      </c>
    </row>
    <row r="137" spans="1:2" ht="18">
      <c r="A137" s="183" t="s">
        <v>638</v>
      </c>
      <c r="B137" s="183" t="s">
        <v>535</v>
      </c>
    </row>
    <row r="138" spans="1:2" ht="18">
      <c r="A138" s="183" t="s">
        <v>748</v>
      </c>
      <c r="B138" s="183" t="s">
        <v>820</v>
      </c>
    </row>
    <row r="139" spans="1:2" ht="18">
      <c r="A139" s="340" t="s">
        <v>749</v>
      </c>
      <c r="B139" s="340" t="s">
        <v>821</v>
      </c>
    </row>
    <row r="140" spans="1:2" ht="18">
      <c r="A140" s="340" t="s">
        <v>639</v>
      </c>
      <c r="B140" s="340" t="s">
        <v>822</v>
      </c>
    </row>
    <row r="141" spans="1:2" ht="18">
      <c r="A141" s="340" t="s">
        <v>640</v>
      </c>
      <c r="B141" s="340" t="s">
        <v>823</v>
      </c>
    </row>
    <row r="142" spans="1:2" ht="18">
      <c r="A142" s="340" t="s">
        <v>641</v>
      </c>
      <c r="B142" s="340" t="s">
        <v>274</v>
      </c>
    </row>
    <row r="143" spans="1:2" ht="18">
      <c r="A143" s="340" t="s">
        <v>642</v>
      </c>
      <c r="B143" s="340" t="s">
        <v>534</v>
      </c>
    </row>
    <row r="144" spans="1:2" ht="18">
      <c r="A144" s="340" t="s">
        <v>643</v>
      </c>
      <c r="B144" s="340" t="s">
        <v>273</v>
      </c>
    </row>
    <row r="145" spans="1:2" ht="18">
      <c r="A145" s="417" t="s">
        <v>644</v>
      </c>
      <c r="B145" s="417" t="s">
        <v>536</v>
      </c>
    </row>
    <row r="146" spans="1:2" ht="18">
      <c r="A146" s="417" t="s">
        <v>750</v>
      </c>
      <c r="B146" s="417" t="s">
        <v>851</v>
      </c>
    </row>
    <row r="147" spans="1:2" ht="18">
      <c r="A147" s="417" t="s">
        <v>751</v>
      </c>
      <c r="B147" s="417" t="s">
        <v>852</v>
      </c>
    </row>
    <row r="148" spans="1:2" ht="18">
      <c r="A148" s="417" t="s">
        <v>275</v>
      </c>
      <c r="B148" s="417" t="s">
        <v>452</v>
      </c>
    </row>
    <row r="149" spans="1:2" ht="18">
      <c r="A149" s="417" t="s">
        <v>276</v>
      </c>
      <c r="B149" s="417" t="s">
        <v>635</v>
      </c>
    </row>
  </sheetData>
  <sheetProtection password="83AF" sheet="1" objects="1" scenarios="1"/>
  <mergeCells count="2">
    <mergeCell ref="A1:B1"/>
    <mergeCell ref="A11:B11"/>
  </mergeCells>
  <printOptions horizontalCentered="1"/>
  <pageMargins left="0.5" right="0.5" top="1.25" bottom="0.75" header="0.75" footer="0.5"/>
  <pageSetup cellComments="asDisplayed" fitToHeight="4" horizontalDpi="600" verticalDpi="600" orientation="portrait" r:id="rId3"/>
  <headerFooter alignWithMargins="0">
    <oddHeader>&amp;L&amp;"Trebuchet MS,Regular"Gravimetric Calibration of Volumetric Ware
Using an Electronic Balance&amp;R&amp;"Trebuchet MS,Regular"WAMRF-005, Rev. 30, 12/10/2014</oddHeader>
    <oddFooter>&amp;L&amp;"Trebuchet MS,Regular"&amp;F&amp;R&amp;"Trebuchet MS,Regular"&amp;A Worksheet Page &amp;P of &amp;N</oddFooter>
  </headerFooter>
  <tableParts>
    <tablePart r:id="rId1"/>
    <tablePart r:id="rId2"/>
  </tableParts>
</worksheet>
</file>

<file path=xl/worksheets/sheet5.xml><?xml version="1.0" encoding="utf-8"?>
<worksheet xmlns="http://schemas.openxmlformats.org/spreadsheetml/2006/main" xmlns:r="http://schemas.openxmlformats.org/officeDocument/2006/relationships">
  <sheetPr>
    <tabColor indexed="13"/>
  </sheetPr>
  <dimension ref="A5:U94"/>
  <sheetViews>
    <sheetView showGridLines="0" zoomScalePageLayoutView="0" workbookViewId="0" topLeftCell="A1">
      <selection activeCell="A1" sqref="A1"/>
    </sheetView>
  </sheetViews>
  <sheetFormatPr defaultColWidth="0" defaultRowHeight="15.75" zeroHeight="1"/>
  <cols>
    <col min="1" max="7" width="10.77734375" style="73" customWidth="1"/>
    <col min="8" max="8" width="2.4453125" style="73" customWidth="1"/>
    <col min="9" max="10" width="9.77734375" style="73" hidden="1" customWidth="1"/>
    <col min="11" max="16384" width="0" style="73" hidden="1" customWidth="1"/>
  </cols>
  <sheetData>
    <row r="1" s="67" customFormat="1" ht="15.75"/>
    <row r="2" s="67" customFormat="1" ht="15.75"/>
    <row r="3" s="67" customFormat="1" ht="15.75"/>
    <row r="4" s="67" customFormat="1" ht="15.75"/>
    <row r="5" s="67" customFormat="1" ht="15.75">
      <c r="D5" s="68"/>
    </row>
    <row r="6" s="67" customFormat="1" ht="18">
      <c r="D6" s="69"/>
    </row>
    <row r="7" s="67" customFormat="1" ht="16.5">
      <c r="D7" s="70"/>
    </row>
    <row r="8" s="67" customFormat="1" ht="15.75">
      <c r="D8" s="71"/>
    </row>
    <row r="9" s="67" customFormat="1" ht="15.75">
      <c r="D9" s="72"/>
    </row>
    <row r="10" ht="18"/>
    <row r="11" ht="23.25">
      <c r="D11" s="74" t="s">
        <v>158</v>
      </c>
    </row>
    <row r="12" ht="18"/>
    <row r="13" ht="18.75" customHeight="1">
      <c r="D13" s="75" t="s">
        <v>159</v>
      </c>
    </row>
    <row r="14" ht="18.75" customHeight="1">
      <c r="D14" s="127">
        <f>IF('Data Entry'!A4="","",'Data Entry'!A4)</f>
      </c>
    </row>
    <row r="15" ht="18.75" customHeight="1">
      <c r="D15" s="127">
        <f>IF('Data Entry'!A5="","",'Data Entry'!A5)</f>
      </c>
    </row>
    <row r="16" ht="18.75" customHeight="1">
      <c r="D16" s="127">
        <f>IF('Data Entry'!A6="","",'Data Entry'!A6)</f>
      </c>
    </row>
    <row r="17" spans="1:7" ht="18">
      <c r="A17" s="125"/>
      <c r="B17" s="125"/>
      <c r="C17" s="126"/>
      <c r="D17" s="127">
        <f>IF('Data Entry'!A7="","",'Data Entry'!A7)</f>
      </c>
      <c r="E17" s="126"/>
      <c r="F17" s="125"/>
      <c r="G17" s="125"/>
    </row>
    <row r="18" ht="12" customHeight="1">
      <c r="D18" s="76"/>
    </row>
    <row r="19" s="67" customFormat="1" ht="16.5">
      <c r="D19" s="77" t="s">
        <v>160</v>
      </c>
    </row>
    <row r="20" s="67" customFormat="1" ht="18">
      <c r="D20" s="78">
        <f>IF(POC_Name="","",POC_Name)</f>
      </c>
    </row>
    <row r="21" s="67" customFormat="1" ht="18">
      <c r="D21" s="78">
        <f>IF(POC_Phone="","","Ph. "&amp;POC_Phone)</f>
      </c>
    </row>
    <row r="22" ht="12" customHeight="1">
      <c r="D22" s="76"/>
    </row>
    <row r="23" s="67" customFormat="1" ht="16.5">
      <c r="D23" s="77" t="s">
        <v>161</v>
      </c>
    </row>
    <row r="24" ht="18">
      <c r="D24" s="79">
        <f>IF(PO_Number="","",PO_Number)</f>
      </c>
    </row>
    <row r="25" ht="12" customHeight="1">
      <c r="D25" s="76"/>
    </row>
    <row r="26" ht="18">
      <c r="D26" s="80" t="s">
        <v>110</v>
      </c>
    </row>
    <row r="27" ht="18">
      <c r="D27" s="81">
        <f>IF(RptNo="","",RptNo)</f>
      </c>
    </row>
    <row r="28" ht="12" customHeight="1">
      <c r="D28" s="76"/>
    </row>
    <row r="29" ht="18">
      <c r="D29" s="82" t="str">
        <f>IF(Cal_Date="","Calibration Date","Calibration Date: "&amp;TEXT(Cal_Date,"mmmm d, yyyy"))</f>
        <v>Calibration Date</v>
      </c>
    </row>
    <row r="30" ht="12" customHeight="1">
      <c r="D30" s="76"/>
    </row>
    <row r="31" ht="18">
      <c r="D31" s="82" t="str">
        <f>IF(Cal_Date="","Calibration Due Date",IF(IntervalQ="yes","Calibration Due Date: "&amp;TEXT(DATE(YEAR(Cal_Date),MONTH(Cal_Date)+Interval,DAY(Cal_Date)),"mmmm d, yyyy"),""))</f>
        <v>Calibration Due Date</v>
      </c>
    </row>
    <row r="32" ht="12" customHeight="1">
      <c r="D32" s="76"/>
    </row>
    <row r="33" spans="1:7" ht="18">
      <c r="A33" s="483" t="s">
        <v>162</v>
      </c>
      <c r="B33" s="483"/>
      <c r="C33" s="483"/>
      <c r="D33" s="483"/>
      <c r="E33" s="483"/>
      <c r="F33" s="483"/>
      <c r="G33" s="483"/>
    </row>
    <row r="34" spans="1:7" ht="18">
      <c r="A34" s="483"/>
      <c r="B34" s="483"/>
      <c r="C34" s="483"/>
      <c r="D34" s="483"/>
      <c r="E34" s="483"/>
      <c r="F34" s="483"/>
      <c r="G34" s="483"/>
    </row>
    <row r="35" ht="18"/>
    <row r="36" ht="18">
      <c r="D36" s="76"/>
    </row>
    <row r="37" spans="1:7" ht="18">
      <c r="A37" s="83"/>
      <c r="B37" s="83"/>
      <c r="C37" s="83"/>
      <c r="D37" s="76"/>
      <c r="F37" s="83"/>
      <c r="G37" s="83"/>
    </row>
    <row r="38" spans="1:7" s="84" customFormat="1" ht="15">
      <c r="A38" s="84" t="s">
        <v>660</v>
      </c>
      <c r="D38" s="85"/>
      <c r="F38" s="481" t="s">
        <v>163</v>
      </c>
      <c r="G38" s="481"/>
    </row>
    <row r="39" spans="1:4" s="86" customFormat="1" ht="12" customHeight="1">
      <c r="A39" s="73"/>
      <c r="D39" s="87"/>
    </row>
    <row r="40" spans="1:4" s="86" customFormat="1" ht="18">
      <c r="A40" s="73"/>
      <c r="D40" s="87"/>
    </row>
    <row r="41" spans="1:11" s="67" customFormat="1" ht="52.5" customHeight="1">
      <c r="A41" s="477" t="s">
        <v>656</v>
      </c>
      <c r="B41" s="477"/>
      <c r="C41" s="482" t="s">
        <v>657</v>
      </c>
      <c r="D41" s="482"/>
      <c r="E41" s="482"/>
      <c r="F41" s="482"/>
      <c r="G41" s="482"/>
      <c r="I41" s="6"/>
      <c r="J41" s="88"/>
      <c r="K41" s="89"/>
    </row>
    <row r="42" spans="1:8" ht="19.5">
      <c r="A42" s="469" t="s">
        <v>164</v>
      </c>
      <c r="B42" s="469"/>
      <c r="C42" s="469"/>
      <c r="D42" s="469"/>
      <c r="E42" s="469"/>
      <c r="F42" s="469"/>
      <c r="G42" s="469"/>
      <c r="H42" s="90"/>
    </row>
    <row r="43" spans="1:8" s="92" customFormat="1" ht="18">
      <c r="A43" s="73" t="str">
        <f>"Report Number: "&amp;RptNo</f>
        <v>Report Number: </v>
      </c>
      <c r="B43" s="73"/>
      <c r="C43" s="73"/>
      <c r="D43" s="73"/>
      <c r="E43" s="73"/>
      <c r="F43" s="73"/>
      <c r="G43" s="91" t="str">
        <f>IF(Cal_Date="","Calibration Date","Calibration Date: "&amp;TEXT(Cal_Date,"mmmm d, yyyy"))</f>
        <v>Calibration Date</v>
      </c>
      <c r="H43" s="73"/>
    </row>
    <row r="44" spans="2:15" s="92" customFormat="1" ht="12" customHeight="1">
      <c r="B44" s="93"/>
      <c r="C44" s="93"/>
      <c r="D44" s="93"/>
      <c r="E44" s="93"/>
      <c r="F44" s="93"/>
      <c r="O44" s="94"/>
    </row>
    <row r="45" spans="1:7" ht="18">
      <c r="A45" s="95" t="s">
        <v>165</v>
      </c>
      <c r="B45" s="93"/>
      <c r="C45" s="93"/>
      <c r="D45" s="93"/>
      <c r="E45" s="93"/>
      <c r="F45" s="93"/>
      <c r="G45" s="96"/>
    </row>
    <row r="46" spans="1:21" s="84" customFormat="1" ht="15.75" customHeight="1">
      <c r="A46" s="97" t="s">
        <v>166</v>
      </c>
      <c r="B46" s="98">
        <f>IF(Description="","",Description)</f>
      </c>
      <c r="C46" s="99"/>
      <c r="D46" s="99"/>
      <c r="E46" s="100" t="s">
        <v>167</v>
      </c>
      <c r="F46" s="98">
        <f>IF(WODate="","",TEXT(WODate,"mmmm d, yyyy"))</f>
      </c>
      <c r="G46" s="99"/>
      <c r="O46" s="73"/>
      <c r="P46" s="73"/>
      <c r="Q46" s="73"/>
      <c r="R46" s="73"/>
      <c r="S46" s="73"/>
      <c r="T46" s="73"/>
      <c r="U46" s="73"/>
    </row>
    <row r="47" spans="1:21" s="84" customFormat="1" ht="15.75" customHeight="1">
      <c r="A47" s="97" t="s">
        <v>168</v>
      </c>
      <c r="B47" s="98">
        <f>IF(Spec="","",Spec)</f>
      </c>
      <c r="C47" s="99"/>
      <c r="D47" s="99"/>
      <c r="E47" s="101" t="s">
        <v>177</v>
      </c>
      <c r="F47" s="106">
        <f>IF(Condition="","",Condition)</f>
      </c>
      <c r="G47" s="99"/>
      <c r="O47" s="73"/>
      <c r="P47" s="73"/>
      <c r="Q47" s="73"/>
      <c r="R47" s="73"/>
      <c r="S47" s="73"/>
      <c r="T47" s="73"/>
      <c r="U47" s="73"/>
    </row>
    <row r="48" spans="1:21" s="84" customFormat="1" ht="15.75" customHeight="1">
      <c r="A48" s="97" t="s">
        <v>169</v>
      </c>
      <c r="B48" s="98">
        <f>IF(SN="","",SN)</f>
      </c>
      <c r="C48" s="99"/>
      <c r="D48" s="99"/>
      <c r="E48" s="97" t="s">
        <v>170</v>
      </c>
      <c r="F48" s="98">
        <f>IF(MFG="","",MFG)</f>
      </c>
      <c r="G48" s="99"/>
      <c r="O48" s="73"/>
      <c r="P48" s="73"/>
      <c r="Q48" s="73"/>
      <c r="R48" s="73"/>
      <c r="S48" s="73"/>
      <c r="T48" s="73"/>
      <c r="U48" s="73"/>
    </row>
    <row r="49" spans="1:21" s="84" customFormat="1" ht="15.75" customHeight="1">
      <c r="A49" s="101" t="s">
        <v>171</v>
      </c>
      <c r="B49" s="98">
        <f>IF(Material="","",Material)</f>
      </c>
      <c r="C49" s="99"/>
      <c r="D49" s="99"/>
      <c r="E49" s="84" t="s">
        <v>191</v>
      </c>
      <c r="F49" s="103">
        <f>IF(TypeCal="","",TypeCal)</f>
      </c>
      <c r="G49" s="99"/>
      <c r="O49" s="73"/>
      <c r="P49" s="73"/>
      <c r="Q49" s="73"/>
      <c r="R49" s="73"/>
      <c r="S49" s="73"/>
      <c r="T49" s="73"/>
      <c r="U49" s="73"/>
    </row>
    <row r="50" spans="1:2" s="84" customFormat="1" ht="12" customHeight="1">
      <c r="A50" s="102"/>
      <c r="B50" s="103"/>
    </row>
    <row r="51" spans="1:7" ht="18">
      <c r="A51" s="104" t="s">
        <v>172</v>
      </c>
      <c r="B51" s="92"/>
      <c r="C51" s="92"/>
      <c r="D51" s="92"/>
      <c r="G51" s="105"/>
    </row>
    <row r="52" spans="1:6" s="84" customFormat="1" ht="15.75" customHeight="1">
      <c r="A52" s="100" t="s">
        <v>192</v>
      </c>
      <c r="B52" s="98">
        <f>IF(JO_No="","",JO_No)</f>
      </c>
      <c r="E52" s="97" t="s">
        <v>174</v>
      </c>
      <c r="F52" s="106">
        <f>IF('CIPM Air Density'!D5="","",FIXED(AVERAGE('CIPM Air Density'!D5,'CIPM Air Density'!D11),1)&amp;" "&amp;CHAR(186)&amp;"C")</f>
      </c>
    </row>
    <row r="53" spans="1:6" s="84" customFormat="1" ht="15.75" customHeight="1">
      <c r="A53" s="97" t="s">
        <v>173</v>
      </c>
      <c r="B53" s="106">
        <f>IF(Tech="","",Tech)</f>
      </c>
      <c r="E53" s="97" t="s">
        <v>176</v>
      </c>
      <c r="F53" s="106">
        <f>IF('CIPM Air Density'!D6="","",FIXED(AVERAGE('CIPM Air Density'!D6,'CIPM Air Density'!D12),1)&amp;" % RH")</f>
      </c>
    </row>
    <row r="54" spans="1:6" s="84" customFormat="1" ht="15.75" customHeight="1">
      <c r="A54" s="97" t="s">
        <v>175</v>
      </c>
      <c r="B54" s="106" t="str">
        <f>"NISTIR 7383, SOP 14, "&amp;option</f>
        <v>NISTIR 7383, SOP 14, </v>
      </c>
      <c r="E54" s="97" t="s">
        <v>186</v>
      </c>
      <c r="F54" s="106">
        <f>IF('CIPM Air Density'!D4="","",FIXED(AVERAGE('CIPM Air Density'!D4,'CIPM Air Density'!D10),1)&amp;" mm Hg")</f>
      </c>
    </row>
    <row r="55" spans="1:6" s="84" customFormat="1" ht="12.75" customHeight="1">
      <c r="A55" s="97" t="s">
        <v>193</v>
      </c>
      <c r="B55" s="106">
        <f>IF('Data Entry'!E22="","",'Data Entry'!E22)</f>
      </c>
      <c r="E55" s="97" t="s">
        <v>178</v>
      </c>
      <c r="F55" s="106">
        <f>IF(tw1="","",FIXED(AVERAGE(tw1,tw2),3)&amp;" "&amp;CHAR(186)&amp;"C")</f>
      </c>
    </row>
    <row r="56" spans="1:6" s="84" customFormat="1" ht="9" customHeight="1">
      <c r="A56" s="102"/>
      <c r="B56" s="103"/>
      <c r="E56" s="97"/>
      <c r="F56" s="106"/>
    </row>
    <row r="57" spans="1:7" ht="15.75" customHeight="1">
      <c r="A57" s="107" t="s">
        <v>179</v>
      </c>
      <c r="B57" s="83"/>
      <c r="C57" s="83"/>
      <c r="D57" s="83"/>
      <c r="E57" s="108"/>
      <c r="F57" s="83"/>
      <c r="G57" s="83"/>
    </row>
    <row r="58" spans="1:7" ht="15.75" customHeight="1">
      <c r="A58" s="109" t="s">
        <v>10</v>
      </c>
      <c r="B58" s="109"/>
      <c r="C58" s="110" t="s">
        <v>3</v>
      </c>
      <c r="D58" s="484" t="s">
        <v>180</v>
      </c>
      <c r="E58" s="484"/>
      <c r="F58" s="111" t="s">
        <v>181</v>
      </c>
      <c r="G58" s="111" t="s">
        <v>182</v>
      </c>
    </row>
    <row r="59" spans="1:7" ht="15.75" customHeight="1">
      <c r="A59" s="473">
        <f>'Data Entry'!B29</f>
        <v>0</v>
      </c>
      <c r="B59" s="473"/>
      <c r="C59" s="112">
        <f>'Data Entry'!F29</f>
        <v>0</v>
      </c>
      <c r="D59" s="472">
        <f>'Data Entry'!H29</f>
        <v>0</v>
      </c>
      <c r="E59" s="472"/>
      <c r="F59" s="113">
        <f>'Data Entry'!J29</f>
        <v>0</v>
      </c>
      <c r="G59" s="113">
        <f>'Data Entry'!K29</f>
        <v>0</v>
      </c>
    </row>
    <row r="60" spans="1:7" ht="15.75" customHeight="1">
      <c r="A60" s="473">
        <f>'Data Entry'!B30</f>
        <v>0</v>
      </c>
      <c r="B60" s="473"/>
      <c r="C60" s="112">
        <f>'Data Entry'!F30</f>
        <v>0</v>
      </c>
      <c r="D60" s="472">
        <f>'Data Entry'!H30</f>
        <v>0</v>
      </c>
      <c r="E60" s="472"/>
      <c r="F60" s="113">
        <f>'Data Entry'!J30</f>
        <v>0</v>
      </c>
      <c r="G60" s="113">
        <f>'Data Entry'!K30</f>
        <v>0</v>
      </c>
    </row>
    <row r="61" spans="1:7" ht="15.75" customHeight="1">
      <c r="A61" s="473">
        <f>'Data Entry'!B31</f>
        <v>0</v>
      </c>
      <c r="B61" s="473"/>
      <c r="C61" s="112">
        <f>'Data Entry'!F31</f>
        <v>0</v>
      </c>
      <c r="D61" s="472">
        <f>'Data Entry'!H31</f>
        <v>0</v>
      </c>
      <c r="E61" s="472"/>
      <c r="F61" s="113">
        <f>'Data Entry'!J31</f>
        <v>0</v>
      </c>
      <c r="G61" s="113">
        <f>'Data Entry'!K31</f>
        <v>0</v>
      </c>
    </row>
    <row r="62" spans="1:7" ht="15.75" customHeight="1">
      <c r="A62" s="473">
        <f>'Data Entry'!B32</f>
        <v>0</v>
      </c>
      <c r="B62" s="473"/>
      <c r="C62" s="112">
        <f>'Data Entry'!F32</f>
        <v>0</v>
      </c>
      <c r="D62" s="472">
        <f>'Data Entry'!H32</f>
        <v>0</v>
      </c>
      <c r="E62" s="472"/>
      <c r="F62" s="113">
        <f>'Data Entry'!J32</f>
        <v>0</v>
      </c>
      <c r="G62" s="113">
        <f>'Data Entry'!K32</f>
        <v>0</v>
      </c>
    </row>
    <row r="63" spans="1:7" ht="15.75" customHeight="1">
      <c r="A63" s="473">
        <f>'Data Entry'!B33</f>
        <v>0</v>
      </c>
      <c r="B63" s="473"/>
      <c r="C63" s="112">
        <f>'Data Entry'!F33</f>
        <v>0</v>
      </c>
      <c r="D63" s="472">
        <f>'Data Entry'!H33</f>
        <v>0</v>
      </c>
      <c r="E63" s="472"/>
      <c r="F63" s="113">
        <f>'Data Entry'!J33</f>
        <v>0</v>
      </c>
      <c r="G63" s="113">
        <f>'Data Entry'!K33</f>
        <v>0</v>
      </c>
    </row>
    <row r="64" spans="1:7" ht="15.75" customHeight="1">
      <c r="A64" s="473">
        <f>'Data Entry'!B34</f>
        <v>0</v>
      </c>
      <c r="B64" s="473"/>
      <c r="C64" s="112">
        <f>'Data Entry'!F34</f>
        <v>0</v>
      </c>
      <c r="D64" s="472">
        <f>'Data Entry'!H34</f>
        <v>0</v>
      </c>
      <c r="E64" s="472"/>
      <c r="F64" s="113">
        <f>'Data Entry'!J34</f>
        <v>0</v>
      </c>
      <c r="G64" s="113">
        <f>'Data Entry'!K34</f>
        <v>0</v>
      </c>
    </row>
    <row r="65" spans="1:7" ht="12" customHeight="1">
      <c r="A65" s="473"/>
      <c r="B65" s="473"/>
      <c r="C65" s="112"/>
      <c r="D65" s="472"/>
      <c r="E65" s="472"/>
      <c r="F65" s="113"/>
      <c r="G65" s="113"/>
    </row>
    <row r="66" spans="1:7" ht="18">
      <c r="A66" s="104" t="s">
        <v>32</v>
      </c>
      <c r="B66" s="92"/>
      <c r="C66" s="92"/>
      <c r="D66" s="92"/>
      <c r="E66" s="92"/>
      <c r="F66" s="92"/>
      <c r="G66" s="105"/>
    </row>
    <row r="67" spans="1:7" ht="109.5" customHeight="1">
      <c r="A67" s="474" t="s">
        <v>420</v>
      </c>
      <c r="B67" s="474"/>
      <c r="C67" s="474"/>
      <c r="D67" s="474"/>
      <c r="E67" s="474"/>
      <c r="F67" s="474"/>
      <c r="G67" s="474"/>
    </row>
    <row r="68" spans="1:7" ht="18">
      <c r="A68" s="104" t="s">
        <v>33</v>
      </c>
      <c r="B68" s="92"/>
      <c r="C68" s="92"/>
      <c r="D68" s="92"/>
      <c r="E68" s="92"/>
      <c r="F68" s="92"/>
      <c r="G68" s="105"/>
    </row>
    <row r="69" spans="1:7" ht="96.75" customHeight="1">
      <c r="A69" s="471" t="s">
        <v>873</v>
      </c>
      <c r="B69" s="471"/>
      <c r="C69" s="471"/>
      <c r="D69" s="471"/>
      <c r="E69" s="471"/>
      <c r="F69" s="471"/>
      <c r="G69" s="471"/>
    </row>
    <row r="70" spans="1:7" ht="18">
      <c r="A70" s="104" t="s">
        <v>455</v>
      </c>
      <c r="B70" s="92"/>
      <c r="C70" s="92"/>
      <c r="D70" s="92"/>
      <c r="E70" s="92"/>
      <c r="F70" s="92"/>
      <c r="G70" s="105"/>
    </row>
    <row r="71" spans="1:7" ht="47.25" customHeight="1">
      <c r="A71" s="471" t="s">
        <v>658</v>
      </c>
      <c r="B71" s="471"/>
      <c r="C71" s="471"/>
      <c r="D71" s="471"/>
      <c r="E71" s="471"/>
      <c r="F71" s="471"/>
      <c r="G71" s="471"/>
    </row>
    <row r="72" spans="1:8" ht="19.5">
      <c r="A72" s="469" t="s">
        <v>164</v>
      </c>
      <c r="B72" s="469"/>
      <c r="C72" s="469"/>
      <c r="D72" s="469"/>
      <c r="E72" s="469"/>
      <c r="F72" s="469"/>
      <c r="G72" s="469"/>
      <c r="H72" s="90"/>
    </row>
    <row r="73" spans="1:8" s="92" customFormat="1" ht="18">
      <c r="A73" s="73" t="str">
        <f>"Report Number: "&amp;RptNo</f>
        <v>Report Number: </v>
      </c>
      <c r="B73" s="73"/>
      <c r="C73" s="73"/>
      <c r="D73" s="73"/>
      <c r="E73" s="73"/>
      <c r="F73" s="73"/>
      <c r="G73" s="91" t="str">
        <f>IF(Cal_Date="","Calibration Date","Calibration Date: "&amp;TEXT(Cal_Date,"mmmm d, yyyy"))</f>
        <v>Calibration Date</v>
      </c>
      <c r="H73" s="73"/>
    </row>
    <row r="74" spans="2:15" s="92" customFormat="1" ht="12" customHeight="1">
      <c r="B74" s="93"/>
      <c r="C74" s="93"/>
      <c r="D74" s="93"/>
      <c r="E74" s="93"/>
      <c r="F74" s="93"/>
      <c r="O74" s="94"/>
    </row>
    <row r="75" spans="1:7" ht="24" customHeight="1">
      <c r="A75" s="104" t="s">
        <v>183</v>
      </c>
      <c r="B75" s="92"/>
      <c r="C75" s="92"/>
      <c r="D75" s="92"/>
      <c r="E75" s="92"/>
      <c r="F75" s="92"/>
      <c r="G75" s="105"/>
    </row>
    <row r="76" spans="1:7" ht="63" customHeight="1">
      <c r="A76" s="468" t="s">
        <v>188</v>
      </c>
      <c r="B76" s="468"/>
      <c r="C76" s="468"/>
      <c r="D76" s="468"/>
      <c r="E76" s="468"/>
      <c r="F76" s="468"/>
      <c r="G76" s="468"/>
    </row>
    <row r="77" spans="1:7" ht="78.75" customHeight="1">
      <c r="A77" s="468" t="s">
        <v>187</v>
      </c>
      <c r="B77" s="468"/>
      <c r="C77" s="468"/>
      <c r="D77" s="468"/>
      <c r="E77" s="468"/>
      <c r="F77" s="468"/>
      <c r="G77" s="468"/>
    </row>
    <row r="78" spans="1:7" ht="30.75" customHeight="1">
      <c r="A78" s="467" t="str">
        <f>"● "&amp;IF(AND('Data Entry'!D56&lt;=5,'Data Entry'!D56&gt;0.2),"The artifact described above was calibrated using water that meets or exceeds ASTM D-1193 Type IV Reagent Water specifications.",IF('Data Entry'!D56&lt;0.3,"The artifact described above was calibrated using water that meets or exceeds ASTM D-1193 Type III Reagent Water specifications."))</f>
        <v>● The artifact described above was calibrated using water that meets or exceeds ASTM D-1193 Type III Reagent Water specifications.</v>
      </c>
      <c r="B78" s="467"/>
      <c r="C78" s="467"/>
      <c r="D78" s="467"/>
      <c r="E78" s="467"/>
      <c r="F78" s="467"/>
      <c r="G78" s="467"/>
    </row>
    <row r="79" spans="1:7" ht="47.25" customHeight="1">
      <c r="A79" s="467">
        <f>IF(ISBLANK(TypeCal),"",IF(AND(TypeCal="To Deliver",OR(Description="Slicker Plate Standard",Description="Prover")),Slicker_Stmt,IF(AND(TypeCal="To Deliver",OR(Description="Graduated Cylinder",Description="Volumetric Flask",Description="Test Measure")),ToDeliver_Stmt,IF(TypeCal="To Contain",ToContain_Stmt))))</f>
      </c>
      <c r="B79" s="467"/>
      <c r="C79" s="467"/>
      <c r="D79" s="467"/>
      <c r="E79" s="467"/>
      <c r="F79" s="467"/>
      <c r="G79" s="467"/>
    </row>
    <row r="80" spans="1:7" s="114" customFormat="1" ht="15.75" customHeight="1">
      <c r="A80" s="470" t="s">
        <v>184</v>
      </c>
      <c r="B80" s="470"/>
      <c r="C80" s="470"/>
      <c r="D80" s="470"/>
      <c r="E80" s="470"/>
      <c r="F80" s="470"/>
      <c r="G80" s="470"/>
    </row>
    <row r="81" spans="1:7" s="114" customFormat="1" ht="30.75" customHeight="1">
      <c r="A81" s="467" t="str">
        <f>IF(Description="Slicker Plate Standard","","●  The "&amp;Description&amp;" is considered in-tolerance when the error is equal to or less than the specified tolerance minus the measurement uncertainty.")</f>
        <v>●  The  is considered in-tolerance when the error is equal to or less than the specified tolerance minus the measurement uncertainty.</v>
      </c>
      <c r="B81" s="467"/>
      <c r="C81" s="467"/>
      <c r="D81" s="467"/>
      <c r="E81" s="467"/>
      <c r="F81" s="467"/>
      <c r="G81" s="467"/>
    </row>
    <row r="82" spans="1:7" ht="30.75" customHeight="1">
      <c r="A82" s="467" t="e">
        <f>IF(Description="Slicker Plate Standard","",IF(ABS(Calculations!C40)&lt;=ABS(Calculations!C41),"●  The "&amp;Description&amp;" was found 'In-Tolerance', the "&amp;Description&amp;" may be used in testing without a correction.","●  The "&amp;Description&amp;" was found 'Out-of-Tolerance', the user must use a correction for all testing."))</f>
        <v>#VALUE!</v>
      </c>
      <c r="B82" s="467"/>
      <c r="C82" s="467"/>
      <c r="D82" s="467"/>
      <c r="E82" s="467"/>
      <c r="F82" s="467"/>
      <c r="G82" s="467"/>
    </row>
    <row r="83" spans="1:7" ht="12" customHeight="1">
      <c r="A83" s="279"/>
      <c r="B83" s="279"/>
      <c r="C83" s="279"/>
      <c r="D83" s="279"/>
      <c r="E83" s="279"/>
      <c r="F83" s="279"/>
      <c r="G83" s="279"/>
    </row>
    <row r="84" spans="1:6" s="92" customFormat="1" ht="24" customHeight="1">
      <c r="A84" s="104" t="s">
        <v>421</v>
      </c>
      <c r="C84" s="116"/>
      <c r="E84" s="115"/>
      <c r="F84" s="115"/>
    </row>
    <row r="85" s="92" customFormat="1" ht="18">
      <c r="A85" s="284" t="s">
        <v>422</v>
      </c>
    </row>
    <row r="86" s="92" customFormat="1" ht="18">
      <c r="A86" s="284" t="s">
        <v>423</v>
      </c>
    </row>
    <row r="87" spans="1:7" s="92" customFormat="1" ht="18">
      <c r="A87" s="476" t="s">
        <v>424</v>
      </c>
      <c r="B87" s="476"/>
      <c r="C87" s="476"/>
      <c r="D87" s="476" t="s">
        <v>425</v>
      </c>
      <c r="E87" s="476"/>
      <c r="F87" s="476" t="s">
        <v>454</v>
      </c>
      <c r="G87" s="476"/>
    </row>
    <row r="88" spans="1:7" s="92" customFormat="1" ht="18">
      <c r="A88" s="478" t="s">
        <v>429</v>
      </c>
      <c r="B88" s="478"/>
      <c r="C88" s="478"/>
      <c r="D88" s="479" t="s">
        <v>427</v>
      </c>
      <c r="E88" s="479"/>
      <c r="F88" s="475" t="s">
        <v>430</v>
      </c>
      <c r="G88" s="475"/>
    </row>
    <row r="89" spans="1:7" s="92" customFormat="1" ht="18">
      <c r="A89" s="284" t="s">
        <v>434</v>
      </c>
      <c r="B89" s="284"/>
      <c r="C89" s="284"/>
      <c r="D89" s="285" t="s">
        <v>427</v>
      </c>
      <c r="E89" s="285"/>
      <c r="F89" s="286" t="s">
        <v>435</v>
      </c>
      <c r="G89" s="287"/>
    </row>
    <row r="90" spans="1:7" s="92" customFormat="1" ht="18">
      <c r="A90" s="478" t="s">
        <v>426</v>
      </c>
      <c r="B90" s="478"/>
      <c r="C90" s="478"/>
      <c r="D90" s="479" t="s">
        <v>427</v>
      </c>
      <c r="E90" s="479"/>
      <c r="F90" s="480" t="s">
        <v>428</v>
      </c>
      <c r="G90" s="480"/>
    </row>
    <row r="91" spans="1:6" s="92" customFormat="1" ht="18">
      <c r="A91" s="284" t="s">
        <v>436</v>
      </c>
      <c r="D91" s="285" t="s">
        <v>427</v>
      </c>
      <c r="F91" s="284" t="s">
        <v>437</v>
      </c>
    </row>
    <row r="92" spans="1:7" s="92" customFormat="1" ht="18">
      <c r="A92" s="478" t="s">
        <v>431</v>
      </c>
      <c r="B92" s="478"/>
      <c r="C92" s="478"/>
      <c r="D92" s="479" t="s">
        <v>427</v>
      </c>
      <c r="E92" s="479"/>
      <c r="F92" s="475" t="s">
        <v>432</v>
      </c>
      <c r="G92" s="475"/>
    </row>
    <row r="93" spans="1:7" s="92" customFormat="1" ht="18">
      <c r="A93" s="478" t="s">
        <v>438</v>
      </c>
      <c r="B93" s="478"/>
      <c r="C93" s="478"/>
      <c r="D93" s="479" t="s">
        <v>427</v>
      </c>
      <c r="E93" s="479"/>
      <c r="F93" s="480" t="s">
        <v>439</v>
      </c>
      <c r="G93" s="480"/>
    </row>
    <row r="94" spans="1:7" s="92" customFormat="1" ht="18">
      <c r="A94" s="478" t="s">
        <v>440</v>
      </c>
      <c r="B94" s="478"/>
      <c r="C94" s="478"/>
      <c r="D94" s="479" t="s">
        <v>427</v>
      </c>
      <c r="E94" s="479"/>
      <c r="F94" s="480" t="s">
        <v>441</v>
      </c>
      <c r="G94" s="480"/>
    </row>
    <row r="95" ht="18"/>
  </sheetData>
  <sheetProtection password="83AF" sheet="1" objects="1" scenarios="1"/>
  <mergeCells count="49">
    <mergeCell ref="A93:C93"/>
    <mergeCell ref="D93:E93"/>
    <mergeCell ref="F93:G93"/>
    <mergeCell ref="A94:C94"/>
    <mergeCell ref="D94:E94"/>
    <mergeCell ref="F94:G94"/>
    <mergeCell ref="A33:G34"/>
    <mergeCell ref="D61:E61"/>
    <mergeCell ref="A42:G42"/>
    <mergeCell ref="A59:B59"/>
    <mergeCell ref="D58:E58"/>
    <mergeCell ref="A88:C88"/>
    <mergeCell ref="D88:E88"/>
    <mergeCell ref="A61:B61"/>
    <mergeCell ref="D59:E59"/>
    <mergeCell ref="D60:E60"/>
    <mergeCell ref="F92:G92"/>
    <mergeCell ref="A90:C90"/>
    <mergeCell ref="D90:E90"/>
    <mergeCell ref="F90:G90"/>
    <mergeCell ref="F38:G38"/>
    <mergeCell ref="A92:C92"/>
    <mergeCell ref="D92:E92"/>
    <mergeCell ref="A78:G78"/>
    <mergeCell ref="C41:G41"/>
    <mergeCell ref="A60:B60"/>
    <mergeCell ref="F88:G88"/>
    <mergeCell ref="A87:C87"/>
    <mergeCell ref="D87:E87"/>
    <mergeCell ref="F87:G87"/>
    <mergeCell ref="A41:B41"/>
    <mergeCell ref="D63:E63"/>
    <mergeCell ref="A62:B62"/>
    <mergeCell ref="D62:E62"/>
    <mergeCell ref="D65:E65"/>
    <mergeCell ref="A64:B64"/>
    <mergeCell ref="D64:E64"/>
    <mergeCell ref="A65:B65"/>
    <mergeCell ref="A76:G76"/>
    <mergeCell ref="A63:B63"/>
    <mergeCell ref="A67:G67"/>
    <mergeCell ref="A69:G69"/>
    <mergeCell ref="A82:G82"/>
    <mergeCell ref="A77:G77"/>
    <mergeCell ref="A72:G72"/>
    <mergeCell ref="A80:G80"/>
    <mergeCell ref="A79:G79"/>
    <mergeCell ref="A71:G71"/>
    <mergeCell ref="A81:G81"/>
  </mergeCells>
  <printOptions/>
  <pageMargins left="0.6" right="0.5" top="0.25" bottom="1" header="0.6" footer="0.5"/>
  <pageSetup horizontalDpi="600" verticalDpi="600" orientation="portrait" scale="98" r:id="rId2"/>
  <headerFooter alignWithMargins="0">
    <oddFooter>&amp;L&amp;"Trebuchet MS,Regular"&amp;10WAMRF-005, Rev. 30, 12/10/2014&amp;R&amp;"Trebuchet MS,Regular"&amp;10Page &amp;P of 4</oddFooter>
  </headerFooter>
  <rowBreaks count="2" manualBreakCount="2">
    <brk id="41" max="255" man="1"/>
    <brk id="71" max="6" man="1"/>
  </rowBreaks>
  <drawing r:id="rId1"/>
</worksheet>
</file>

<file path=xl/worksheets/sheet6.xml><?xml version="1.0" encoding="utf-8"?>
<worksheet xmlns="http://schemas.openxmlformats.org/spreadsheetml/2006/main" xmlns:r="http://schemas.openxmlformats.org/officeDocument/2006/relationships">
  <sheetPr>
    <tabColor indexed="13"/>
  </sheetPr>
  <dimension ref="A1:F5"/>
  <sheetViews>
    <sheetView showGridLines="0" zoomScalePageLayoutView="0" workbookViewId="0" topLeftCell="A1">
      <selection activeCell="A1" sqref="A1:F1"/>
    </sheetView>
  </sheetViews>
  <sheetFormatPr defaultColWidth="0" defaultRowHeight="15.75" zeroHeight="1"/>
  <cols>
    <col min="1" max="6" width="14.77734375" style="73" customWidth="1"/>
    <col min="7" max="7" width="2.88671875" style="73" customWidth="1"/>
    <col min="8" max="8" width="10.3359375" style="73" hidden="1" customWidth="1"/>
    <col min="9" max="9" width="0" style="73" hidden="1" customWidth="1"/>
    <col min="10" max="19" width="10.3359375" style="73" hidden="1" customWidth="1"/>
    <col min="20" max="16384" width="0" style="73" hidden="1" customWidth="1"/>
  </cols>
  <sheetData>
    <row r="1" spans="1:6" ht="19.5">
      <c r="A1" s="469" t="s">
        <v>164</v>
      </c>
      <c r="B1" s="469"/>
      <c r="C1" s="469"/>
      <c r="D1" s="469"/>
      <c r="E1" s="469"/>
      <c r="F1" s="469"/>
    </row>
    <row r="2" spans="1:6" ht="18">
      <c r="A2" s="73" t="str">
        <f>"Report Number: "&amp;RptNo</f>
        <v>Report Number: </v>
      </c>
      <c r="F2" s="91" t="str">
        <f>IF(Cal_Date="","Calibration Date","Calibration Date: "&amp;TEXT(Cal_Date,"mmmm d, yyyy"))</f>
        <v>Calibration Date</v>
      </c>
    </row>
    <row r="3" spans="1:6" ht="24" customHeight="1" thickBot="1">
      <c r="A3" s="117" t="s">
        <v>185</v>
      </c>
      <c r="B3" s="117"/>
      <c r="C3" s="117"/>
      <c r="D3" s="117"/>
      <c r="E3" s="117"/>
      <c r="F3" s="118"/>
    </row>
    <row r="4" spans="1:6" ht="60.75" customHeight="1">
      <c r="A4" s="119" t="str">
        <f>IF(NomVal="","Nominal Volume","Nominal Volume ("&amp;VLOOKUP(NomValueUnit,VolTable,5)&amp;")")</f>
        <v>Nominal Volume</v>
      </c>
      <c r="B4" s="119" t="str">
        <f>IF(NomVal="","As Found/Left","As Found/Left 
"&amp;TypeCal&amp;"
 ("&amp;VLOOKUP(NomValueUnit,VolTable,5)&amp;")")</f>
        <v>As Found/Left</v>
      </c>
      <c r="C4" s="119" t="s">
        <v>189</v>
      </c>
      <c r="D4" s="119" t="str">
        <f>IF(Spec="","Specification Tolerance",IF(Spec="Not Applicable","Tolerance "&amp;Spec,Spec&amp;" Specification 
Tolerance
± ("&amp;VLOOKUP(NomValueUnit,VolTable,5)&amp;")"))</f>
        <v>Specification Tolerance</v>
      </c>
      <c r="E4" s="120" t="str">
        <f>IF(NomVal="","Uncertainty
","Uncertainty
k="&amp;Reportedk&amp;"
df="&amp;Reported_df&amp;"
± ("&amp;VLOOKUP(NomValueUnit,VolTable,5)&amp;")")</f>
        <v>Uncertainty
</v>
      </c>
      <c r="F4" s="119" t="s">
        <v>190</v>
      </c>
    </row>
    <row r="5" spans="1:6" s="123" customFormat="1" ht="12.75" customHeight="1">
      <c r="A5" s="121">
        <f>IF(NomVal="","",NomVal)</f>
      </c>
      <c r="B5" s="121">
        <f>IF(Calculations!C47="","",Calculations!C47)</f>
      </c>
      <c r="C5" s="121">
        <f>IF(RefTemp="","",IF(RefTempUnit="Reference Temperature (ºC)",RefTemp&amp;" ºC",RefTemp&amp;" ºF"))</f>
      </c>
      <c r="D5" s="122">
        <f>IF(OR(Spec="Not Applicable",NomVal=""),"",VLOOKUP(NomValueUnit,VolTable,4,FALSE))</f>
      </c>
      <c r="E5" s="122">
        <f>IF(Calculations!C50="","",Calculations!C50)</f>
      </c>
      <c r="F5" s="121">
        <f>IF(Material="","",IF(RefTempUnit="Reference Temperature (ºF)",FIXED(a/1.8,7)&amp;" / ºF",a&amp;" / ºC"))</f>
      </c>
    </row>
    <row r="6" ht="18"/>
    <row r="7" ht="18" hidden="1"/>
    <row r="8" ht="18" hidden="1"/>
    <row r="9" ht="18" hidden="1"/>
    <row r="10" ht="18" hidden="1"/>
    <row r="11" ht="18" hidden="1"/>
    <row r="12" ht="18" hidden="1"/>
    <row r="13" ht="18" hidden="1"/>
    <row r="14" ht="18" hidden="1"/>
    <row r="15" ht="18" hidden="1"/>
    <row r="16" ht="18" hidden="1"/>
    <row r="17" ht="18" hidden="1"/>
    <row r="18" ht="18" hidden="1"/>
    <row r="19" ht="18" hidden="1"/>
    <row r="20" ht="18" hidden="1"/>
    <row r="21" ht="18" hidden="1"/>
    <row r="22" ht="18" hidden="1"/>
    <row r="23" ht="18" hidden="1"/>
    <row r="24" ht="18" hidden="1"/>
    <row r="25" ht="18" hidden="1"/>
    <row r="26" ht="18" hidden="1"/>
    <row r="27" ht="18" hidden="1"/>
    <row r="28" ht="18" hidden="1"/>
    <row r="29" ht="18" hidden="1"/>
    <row r="30" ht="18" hidden="1"/>
    <row r="31" ht="18" hidden="1"/>
    <row r="32" ht="18" hidden="1"/>
    <row r="33" ht="18" hidden="1"/>
    <row r="34" ht="18" hidden="1"/>
    <row r="35" ht="18" hidden="1"/>
  </sheetData>
  <sheetProtection password="83AF" sheet="1" objects="1" scenarios="1"/>
  <mergeCells count="1">
    <mergeCell ref="A1:F1"/>
  </mergeCells>
  <printOptions horizontalCentered="1"/>
  <pageMargins left="0.5" right="0.5" top="0.5" bottom="0.75" header="0.6" footer="0.5"/>
  <pageSetup horizontalDpi="600" verticalDpi="600" orientation="landscape" r:id="rId1"/>
  <headerFooter alignWithMargins="0">
    <oddFooter>&amp;L&amp;"Trebuchet MS,Regular"&amp;10WAMRF-005, Rev. 30, 12/10/2014&amp;R&amp;"Trebuchet MS,Regular"&amp;10Page 4 of 4</oddFooter>
  </headerFooter>
</worksheet>
</file>

<file path=xl/worksheets/sheet7.xml><?xml version="1.0" encoding="utf-8"?>
<worksheet xmlns="http://schemas.openxmlformats.org/spreadsheetml/2006/main" xmlns:r="http://schemas.openxmlformats.org/officeDocument/2006/relationships">
  <sheetPr>
    <tabColor indexed="50"/>
  </sheetPr>
  <dimension ref="A1:S122"/>
  <sheetViews>
    <sheetView showGridLines="0" zoomScalePageLayoutView="0" workbookViewId="0" topLeftCell="A1">
      <selection activeCell="I1" sqref="I1:K1"/>
    </sheetView>
  </sheetViews>
  <sheetFormatPr defaultColWidth="0" defaultRowHeight="15.75" zeroHeight="1"/>
  <cols>
    <col min="1" max="7" width="7.77734375" style="53" customWidth="1"/>
    <col min="8" max="8" width="8.4453125" style="53" customWidth="1"/>
    <col min="9" max="11" width="7.99609375" style="53" customWidth="1"/>
    <col min="12" max="12" width="1.99609375" style="53" customWidth="1"/>
    <col min="13" max="13" width="19.6640625" style="53" hidden="1" customWidth="1"/>
    <col min="14" max="14" width="10.6640625" style="53" hidden="1" customWidth="1"/>
    <col min="15" max="19" width="8.88671875" style="53" hidden="1" customWidth="1"/>
    <col min="20" max="16384" width="8.88671875" style="53" hidden="1" customWidth="1"/>
  </cols>
  <sheetData>
    <row r="1" spans="1:11" s="50" customFormat="1" ht="19.5" thickBot="1">
      <c r="A1" s="47" t="s">
        <v>97</v>
      </c>
      <c r="B1" s="48"/>
      <c r="C1" s="48"/>
      <c r="D1" s="48"/>
      <c r="E1" s="48"/>
      <c r="F1" s="48"/>
      <c r="G1" s="48"/>
      <c r="H1" s="49" t="s">
        <v>110</v>
      </c>
      <c r="I1" s="578"/>
      <c r="J1" s="578"/>
      <c r="K1" s="578"/>
    </row>
    <row r="2" spans="1:11" ht="12" customHeight="1">
      <c r="A2" s="51"/>
      <c r="B2" s="51"/>
      <c r="C2" s="51"/>
      <c r="D2" s="52"/>
      <c r="E2" s="52"/>
      <c r="F2" s="52"/>
      <c r="G2" s="52"/>
      <c r="H2" s="51"/>
      <c r="I2" s="51"/>
      <c r="J2" s="51"/>
      <c r="K2" s="51"/>
    </row>
    <row r="3" spans="1:11" ht="15.75" customHeight="1" thickBot="1">
      <c r="A3" s="54" t="s">
        <v>2</v>
      </c>
      <c r="B3" s="55"/>
      <c r="C3" s="55"/>
      <c r="D3" s="55"/>
      <c r="E3" s="55"/>
      <c r="F3" s="55"/>
      <c r="G3" s="55"/>
      <c r="H3" s="124"/>
      <c r="I3" s="124"/>
      <c r="J3" s="124"/>
      <c r="K3" s="124"/>
    </row>
    <row r="4" spans="1:11" ht="15.75" customHeight="1">
      <c r="A4" s="626"/>
      <c r="B4" s="627"/>
      <c r="C4" s="627"/>
      <c r="D4" s="627"/>
      <c r="E4" s="627"/>
      <c r="F4" s="627"/>
      <c r="G4" s="628"/>
      <c r="H4" s="539" t="s">
        <v>194</v>
      </c>
      <c r="I4" s="540"/>
      <c r="J4" s="541"/>
      <c r="K4" s="128"/>
    </row>
    <row r="5" spans="1:11" ht="15.75" customHeight="1">
      <c r="A5" s="629"/>
      <c r="B5" s="630"/>
      <c r="C5" s="630"/>
      <c r="D5" s="630"/>
      <c r="E5" s="630"/>
      <c r="F5" s="630"/>
      <c r="G5" s="631"/>
      <c r="H5" s="305" t="s">
        <v>35</v>
      </c>
      <c r="I5" s="579"/>
      <c r="J5" s="580"/>
      <c r="K5" s="581"/>
    </row>
    <row r="6" spans="1:11" ht="15.75" customHeight="1">
      <c r="A6" s="629"/>
      <c r="B6" s="630"/>
      <c r="C6" s="630"/>
      <c r="D6" s="630"/>
      <c r="E6" s="630"/>
      <c r="F6" s="630"/>
      <c r="G6" s="631"/>
      <c r="H6" s="305" t="s">
        <v>36</v>
      </c>
      <c r="I6" s="582"/>
      <c r="J6" s="582"/>
      <c r="K6" s="583"/>
    </row>
    <row r="7" spans="1:11" ht="15.75" customHeight="1">
      <c r="A7" s="629"/>
      <c r="B7" s="630"/>
      <c r="C7" s="630"/>
      <c r="D7" s="630"/>
      <c r="E7" s="630"/>
      <c r="F7" s="630"/>
      <c r="G7" s="631"/>
      <c r="H7" s="164" t="s">
        <v>37</v>
      </c>
      <c r="I7" s="584"/>
      <c r="J7" s="584"/>
      <c r="K7" s="585"/>
    </row>
    <row r="8" spans="1:11" ht="12" customHeight="1">
      <c r="A8" s="56"/>
      <c r="B8" s="56"/>
      <c r="C8" s="56"/>
      <c r="D8" s="56"/>
      <c r="E8" s="56"/>
      <c r="F8" s="56"/>
      <c r="G8" s="56"/>
      <c r="H8" s="56"/>
      <c r="I8" s="56"/>
      <c r="J8" s="56"/>
      <c r="K8" s="56"/>
    </row>
    <row r="9" spans="1:11" ht="15.75" customHeight="1" thickBot="1">
      <c r="A9" s="57" t="s">
        <v>28</v>
      </c>
      <c r="B9" s="55"/>
      <c r="C9" s="55"/>
      <c r="D9" s="55"/>
      <c r="E9" s="55"/>
      <c r="F9" s="55"/>
      <c r="G9" s="55"/>
      <c r="H9" s="55"/>
      <c r="I9" s="55"/>
      <c r="J9" s="124"/>
      <c r="K9" s="124"/>
    </row>
    <row r="10" spans="1:11" ht="15.75" customHeight="1">
      <c r="A10" s="639" t="s">
        <v>10</v>
      </c>
      <c r="B10" s="640"/>
      <c r="C10" s="588"/>
      <c r="D10" s="589"/>
      <c r="E10" s="589"/>
      <c r="F10" s="590"/>
      <c r="G10" s="539" t="s">
        <v>98</v>
      </c>
      <c r="H10" s="540"/>
      <c r="I10" s="541"/>
      <c r="J10" s="586"/>
      <c r="K10" s="587"/>
    </row>
    <row r="11" spans="1:11" ht="15.75" customHeight="1">
      <c r="A11" s="537" t="s">
        <v>38</v>
      </c>
      <c r="B11" s="538"/>
      <c r="C11" s="579"/>
      <c r="D11" s="580"/>
      <c r="E11" s="580"/>
      <c r="F11" s="581"/>
      <c r="G11" s="549" t="s">
        <v>3</v>
      </c>
      <c r="H11" s="550"/>
      <c r="I11" s="550"/>
      <c r="J11" s="579"/>
      <c r="K11" s="581"/>
    </row>
    <row r="12" spans="1:11" ht="15.75" customHeight="1">
      <c r="A12" s="537" t="s">
        <v>39</v>
      </c>
      <c r="B12" s="538"/>
      <c r="C12" s="579"/>
      <c r="D12" s="580"/>
      <c r="E12" s="580"/>
      <c r="F12" s="581"/>
      <c r="G12" s="593" t="s">
        <v>49</v>
      </c>
      <c r="H12" s="594"/>
      <c r="I12" s="594"/>
      <c r="J12" s="591">
        <f>IF(ISERROR(VLOOKUP(C12,CCE,2)),"",VLOOKUP(C12,CCE,2))</f>
      </c>
      <c r="K12" s="592"/>
    </row>
    <row r="13" spans="1:11" ht="15.75" customHeight="1">
      <c r="A13" s="535"/>
      <c r="B13" s="536"/>
      <c r="C13" s="536"/>
      <c r="D13" s="579"/>
      <c r="E13" s="580"/>
      <c r="F13" s="581"/>
      <c r="G13" s="597"/>
      <c r="H13" s="598"/>
      <c r="I13" s="598"/>
      <c r="J13" s="579"/>
      <c r="K13" s="581"/>
    </row>
    <row r="14" spans="1:11" ht="15.75" customHeight="1">
      <c r="A14" s="522" t="s">
        <v>70</v>
      </c>
      <c r="B14" s="523"/>
      <c r="C14" s="524"/>
      <c r="D14" s="579"/>
      <c r="E14" s="580"/>
      <c r="F14" s="580"/>
      <c r="G14" s="581"/>
      <c r="H14" s="645" t="s">
        <v>652</v>
      </c>
      <c r="I14" s="646"/>
      <c r="J14" s="579"/>
      <c r="K14" s="581"/>
    </row>
    <row r="15" spans="1:11" ht="15.75" customHeight="1">
      <c r="A15" s="635" t="s">
        <v>759</v>
      </c>
      <c r="B15" s="636"/>
      <c r="C15" s="426"/>
      <c r="D15" s="550" t="s">
        <v>760</v>
      </c>
      <c r="E15" s="550"/>
      <c r="F15" s="550"/>
      <c r="G15" s="426"/>
      <c r="H15" s="644" t="s">
        <v>761</v>
      </c>
      <c r="I15" s="644"/>
      <c r="J15" s="644"/>
      <c r="K15" s="38"/>
    </row>
    <row r="16" spans="1:11" ht="15.75" customHeight="1">
      <c r="A16" s="549" t="s">
        <v>78</v>
      </c>
      <c r="B16" s="550"/>
      <c r="C16" s="602"/>
      <c r="D16" s="603"/>
      <c r="E16" s="604"/>
      <c r="F16" s="604"/>
      <c r="G16" s="604"/>
      <c r="H16" s="605"/>
      <c r="I16" s="163" t="s">
        <v>416</v>
      </c>
      <c r="J16" s="579"/>
      <c r="K16" s="581"/>
    </row>
    <row r="17" spans="1:11" ht="15.75" customHeight="1">
      <c r="A17" s="522" t="s">
        <v>572</v>
      </c>
      <c r="B17" s="523"/>
      <c r="C17" s="523"/>
      <c r="D17" s="523"/>
      <c r="E17" s="523"/>
      <c r="F17" s="523"/>
      <c r="G17" s="523"/>
      <c r="H17" s="523"/>
      <c r="I17" s="524"/>
      <c r="J17" s="579"/>
      <c r="K17" s="581"/>
    </row>
    <row r="18" spans="1:11" ht="15.75" customHeight="1">
      <c r="A18" s="641" t="s">
        <v>68</v>
      </c>
      <c r="B18" s="642"/>
      <c r="C18" s="642"/>
      <c r="D18" s="642"/>
      <c r="E18" s="642"/>
      <c r="F18" s="38"/>
      <c r="G18" s="647" t="s">
        <v>573</v>
      </c>
      <c r="H18" s="644"/>
      <c r="I18" s="644"/>
      <c r="J18" s="648"/>
      <c r="K18" s="306"/>
    </row>
    <row r="19" spans="1:11" ht="12" customHeight="1">
      <c r="A19" s="58"/>
      <c r="B19" s="58"/>
      <c r="C19" s="58"/>
      <c r="D19" s="58"/>
      <c r="E19" s="58"/>
      <c r="F19" s="58"/>
      <c r="G19" s="58"/>
      <c r="H19" s="58"/>
      <c r="I19" s="21"/>
      <c r="J19" s="21"/>
      <c r="K19" s="21"/>
    </row>
    <row r="20" spans="1:11" ht="15.75" customHeight="1" thickBot="1">
      <c r="A20" s="57" t="s">
        <v>18</v>
      </c>
      <c r="B20" s="55"/>
      <c r="C20" s="55"/>
      <c r="D20" s="55"/>
      <c r="E20" s="55"/>
      <c r="F20" s="55"/>
      <c r="G20" s="55"/>
      <c r="H20" s="55"/>
      <c r="I20" s="55"/>
      <c r="J20" s="55"/>
      <c r="K20" s="55"/>
    </row>
    <row r="21" spans="1:11" ht="15.75" customHeight="1">
      <c r="A21" s="606" t="s">
        <v>118</v>
      </c>
      <c r="B21" s="607"/>
      <c r="C21" s="608"/>
      <c r="D21" s="637"/>
      <c r="E21" s="638"/>
      <c r="F21" s="329" t="s">
        <v>79</v>
      </c>
      <c r="G21" s="632"/>
      <c r="H21" s="633"/>
      <c r="I21" s="634"/>
      <c r="J21" s="329" t="s">
        <v>594</v>
      </c>
      <c r="K21" s="38"/>
    </row>
    <row r="22" spans="1:11" ht="15.75" customHeight="1">
      <c r="A22" s="549" t="s">
        <v>156</v>
      </c>
      <c r="B22" s="550"/>
      <c r="C22" s="139"/>
      <c r="D22" s="165" t="s">
        <v>193</v>
      </c>
      <c r="E22" s="579"/>
      <c r="F22" s="580"/>
      <c r="G22" s="580"/>
      <c r="H22" s="581"/>
      <c r="I22" s="549" t="s">
        <v>574</v>
      </c>
      <c r="J22" s="550"/>
      <c r="K22" s="38"/>
    </row>
    <row r="23" spans="1:11" ht="15.75" customHeight="1">
      <c r="A23" s="522" t="s">
        <v>474</v>
      </c>
      <c r="B23" s="523"/>
      <c r="C23" s="523"/>
      <c r="D23" s="523"/>
      <c r="E23" s="524"/>
      <c r="F23" s="579"/>
      <c r="G23" s="580"/>
      <c r="H23" s="581"/>
      <c r="I23" s="522" t="s">
        <v>475</v>
      </c>
      <c r="J23" s="524"/>
      <c r="K23" s="38"/>
    </row>
    <row r="24" spans="1:11" ht="15.75" customHeight="1">
      <c r="A24" s="522" t="s">
        <v>862</v>
      </c>
      <c r="B24" s="523"/>
      <c r="C24" s="523"/>
      <c r="D24" s="523"/>
      <c r="E24" s="524"/>
      <c r="F24" s="579"/>
      <c r="G24" s="581"/>
      <c r="H24" s="307" t="s">
        <v>575</v>
      </c>
      <c r="I24" s="38"/>
      <c r="J24" s="304" t="s">
        <v>576</v>
      </c>
      <c r="K24" s="38"/>
    </row>
    <row r="25" spans="1:19" s="50" customFormat="1" ht="15.75" customHeight="1">
      <c r="A25" s="489" t="s">
        <v>458</v>
      </c>
      <c r="B25" s="490"/>
      <c r="C25" s="490"/>
      <c r="D25" s="490"/>
      <c r="E25" s="490"/>
      <c r="F25" s="490"/>
      <c r="G25" s="490"/>
      <c r="H25" s="490"/>
      <c r="I25" s="491"/>
      <c r="J25" s="603"/>
      <c r="K25" s="605"/>
      <c r="M25" s="53"/>
      <c r="N25" s="53"/>
      <c r="O25" s="53"/>
      <c r="P25" s="53"/>
      <c r="Q25" s="53"/>
      <c r="R25" s="59"/>
      <c r="S25" s="59"/>
    </row>
    <row r="26" spans="1:19" s="50" customFormat="1" ht="12" customHeight="1">
      <c r="A26" s="60"/>
      <c r="B26" s="60"/>
      <c r="C26" s="60"/>
      <c r="D26" s="60"/>
      <c r="E26" s="60"/>
      <c r="F26" s="60"/>
      <c r="G26" s="60"/>
      <c r="H26" s="60"/>
      <c r="I26" s="60"/>
      <c r="J26" s="60"/>
      <c r="K26" s="60"/>
      <c r="M26" s="53"/>
      <c r="N26" s="53"/>
      <c r="O26" s="53"/>
      <c r="P26" s="53"/>
      <c r="R26" s="59"/>
      <c r="S26" s="59"/>
    </row>
    <row r="27" spans="1:11" s="143" customFormat="1" ht="18.75" thickBot="1">
      <c r="A27" s="140" t="s">
        <v>218</v>
      </c>
      <c r="B27" s="311"/>
      <c r="C27" s="311"/>
      <c r="D27" s="311"/>
      <c r="E27" s="311"/>
      <c r="F27" s="311"/>
      <c r="G27" s="311"/>
      <c r="H27" s="141"/>
      <c r="I27" s="51"/>
      <c r="J27" s="142"/>
      <c r="K27" s="142"/>
    </row>
    <row r="28" spans="1:11" s="143" customFormat="1" ht="30">
      <c r="A28" s="298" t="s">
        <v>219</v>
      </c>
      <c r="B28" s="599" t="s">
        <v>10</v>
      </c>
      <c r="C28" s="643"/>
      <c r="D28" s="643"/>
      <c r="E28" s="600"/>
      <c r="F28" s="599" t="s">
        <v>3</v>
      </c>
      <c r="G28" s="600"/>
      <c r="H28" s="599" t="s">
        <v>220</v>
      </c>
      <c r="I28" s="600"/>
      <c r="J28" s="166" t="s">
        <v>221</v>
      </c>
      <c r="K28" s="166" t="s">
        <v>222</v>
      </c>
    </row>
    <row r="29" spans="1:11" s="143" customFormat="1" ht="15.75">
      <c r="A29" s="144"/>
      <c r="B29" s="544"/>
      <c r="C29" s="545"/>
      <c r="D29" s="545"/>
      <c r="E29" s="546"/>
      <c r="F29" s="544"/>
      <c r="G29" s="546"/>
      <c r="H29" s="544"/>
      <c r="I29" s="546"/>
      <c r="J29" s="421"/>
      <c r="K29" s="433"/>
    </row>
    <row r="30" spans="1:11" s="143" customFormat="1" ht="15.75">
      <c r="A30" s="144"/>
      <c r="B30" s="544"/>
      <c r="C30" s="545"/>
      <c r="D30" s="545"/>
      <c r="E30" s="546"/>
      <c r="F30" s="544"/>
      <c r="G30" s="546"/>
      <c r="H30" s="544"/>
      <c r="I30" s="546"/>
      <c r="J30" s="421"/>
      <c r="K30" s="433"/>
    </row>
    <row r="31" spans="1:11" s="143" customFormat="1" ht="15.75">
      <c r="A31" s="144"/>
      <c r="B31" s="544"/>
      <c r="C31" s="545"/>
      <c r="D31" s="545"/>
      <c r="E31" s="546"/>
      <c r="F31" s="544"/>
      <c r="G31" s="546"/>
      <c r="H31" s="544"/>
      <c r="I31" s="546"/>
      <c r="J31" s="421"/>
      <c r="K31" s="433"/>
    </row>
    <row r="32" spans="1:11" s="143" customFormat="1" ht="15.75">
      <c r="A32" s="144"/>
      <c r="B32" s="544"/>
      <c r="C32" s="545"/>
      <c r="D32" s="545"/>
      <c r="E32" s="546"/>
      <c r="F32" s="544"/>
      <c r="G32" s="546"/>
      <c r="H32" s="544"/>
      <c r="I32" s="546"/>
      <c r="J32" s="421"/>
      <c r="K32" s="433"/>
    </row>
    <row r="33" spans="1:11" s="143" customFormat="1" ht="15.75">
      <c r="A33" s="144"/>
      <c r="B33" s="544"/>
      <c r="C33" s="545"/>
      <c r="D33" s="545"/>
      <c r="E33" s="546"/>
      <c r="F33" s="544"/>
      <c r="G33" s="546"/>
      <c r="H33" s="544"/>
      <c r="I33" s="546"/>
      <c r="J33" s="421"/>
      <c r="K33" s="433"/>
    </row>
    <row r="34" spans="1:11" s="143" customFormat="1" ht="15.75">
      <c r="A34" s="144"/>
      <c r="B34" s="544"/>
      <c r="C34" s="545"/>
      <c r="D34" s="545"/>
      <c r="E34" s="546"/>
      <c r="F34" s="544"/>
      <c r="G34" s="546"/>
      <c r="H34" s="544"/>
      <c r="I34" s="546"/>
      <c r="J34" s="421"/>
      <c r="K34" s="422"/>
    </row>
    <row r="35" spans="1:11" s="143" customFormat="1" ht="12" customHeight="1">
      <c r="A35" s="142"/>
      <c r="B35" s="142"/>
      <c r="C35" s="142"/>
      <c r="F35" s="142"/>
      <c r="G35" s="142"/>
      <c r="H35" s="142"/>
      <c r="I35" s="142"/>
      <c r="J35" s="142"/>
      <c r="K35" s="142"/>
    </row>
    <row r="36" spans="1:19" ht="15.75" customHeight="1" thickBot="1">
      <c r="A36" s="316" t="s">
        <v>103</v>
      </c>
      <c r="B36" s="124"/>
      <c r="C36" s="124"/>
      <c r="D36" s="124"/>
      <c r="E36" s="124"/>
      <c r="F36" s="124"/>
      <c r="G36" s="124"/>
      <c r="H36" s="124"/>
      <c r="I36" s="124"/>
      <c r="J36" s="308"/>
      <c r="K36" s="308"/>
      <c r="Q36" s="50"/>
      <c r="R36" s="59"/>
      <c r="S36" s="59"/>
    </row>
    <row r="37" spans="1:11" s="61" customFormat="1" ht="48" customHeight="1">
      <c r="A37" s="317" t="s">
        <v>71</v>
      </c>
      <c r="B37" s="318" t="s">
        <v>6</v>
      </c>
      <c r="C37" s="319" t="s">
        <v>16</v>
      </c>
      <c r="D37" s="547" t="s">
        <v>4</v>
      </c>
      <c r="E37" s="548"/>
      <c r="F37" s="556" t="s">
        <v>34</v>
      </c>
      <c r="G37" s="557"/>
      <c r="H37" s="320" t="s">
        <v>5</v>
      </c>
      <c r="I37" s="322" t="s">
        <v>475</v>
      </c>
      <c r="J37" s="319" t="s">
        <v>94</v>
      </c>
      <c r="K37" s="321" t="s">
        <v>119</v>
      </c>
    </row>
    <row r="38" spans="1:11" ht="15.75" customHeight="1">
      <c r="A38" s="572">
        <f>IF(option="","","Ms (filled)")</f>
      </c>
      <c r="B38" s="37"/>
      <c r="C38" s="423"/>
      <c r="D38" s="531"/>
      <c r="E38" s="532"/>
      <c r="F38" s="554"/>
      <c r="G38" s="555"/>
      <c r="H38" s="423"/>
      <c r="I38" s="423"/>
      <c r="J38" s="423"/>
      <c r="K38" s="423"/>
    </row>
    <row r="39" spans="1:11" ht="15.75" customHeight="1">
      <c r="A39" s="572"/>
      <c r="B39" s="37"/>
      <c r="C39" s="423"/>
      <c r="D39" s="531"/>
      <c r="E39" s="532"/>
      <c r="F39" s="554"/>
      <c r="G39" s="555"/>
      <c r="H39" s="423"/>
      <c r="I39" s="423"/>
      <c r="J39" s="423"/>
      <c r="K39" s="423"/>
    </row>
    <row r="40" spans="1:11" ht="15.75" customHeight="1">
      <c r="A40" s="572"/>
      <c r="B40" s="37"/>
      <c r="C40" s="423"/>
      <c r="D40" s="531"/>
      <c r="E40" s="532"/>
      <c r="F40" s="554"/>
      <c r="G40" s="555"/>
      <c r="H40" s="423"/>
      <c r="I40" s="423"/>
      <c r="J40" s="423"/>
      <c r="K40" s="423"/>
    </row>
    <row r="41" spans="1:11" ht="15.75" customHeight="1" thickBot="1">
      <c r="A41" s="601"/>
      <c r="B41" s="174">
        <f>IF(option="","","Ms filled =")</f>
      </c>
      <c r="C41" s="175">
        <f>IF(C38="","",SUM(C38:C40))</f>
      </c>
      <c r="D41" s="614">
        <f>IF(C38="","",SUM(D38:E40))</f>
      </c>
      <c r="E41" s="615"/>
      <c r="F41" s="552">
        <f>IF(C38="","",IF(AND(C39="",C40=""),F38/H38,IF(AND(ISNUMBER(F38),ISNUMBER(F39),F40=""),SUM(F38/H38+F39/H39),SUM(F38/H38+F39/H39+F40/H40))))</f>
      </c>
      <c r="G41" s="553"/>
      <c r="H41" s="175">
        <f>IF(C38="","",1)</f>
      </c>
      <c r="I41" s="312">
        <f>IF(C38="","",IF(AND(C39="",C40=""),I38,IF(AND(ISNUMBER(C38),ISNUMBER(C39),C40=""),ROUNDDOWN(SQRT(((F38/H38)*I38^2+(F39/H39)*I39^2)/SUM((F38/H38)+(F38/H38))),0),ROUNDDOWN(SQRT(((F38/H38)*I38^2+(F39/H39)*I39^2+(F40/H40)*I40^2)/SUM((F38/H38)+(F39/H39)+(F40/H40))),0))))</f>
      </c>
      <c r="J41" s="175">
        <f>IF(C38="","",IF(AND(ISNUMBER(C38),C39=""),(Ms_filled_nom+Cs_filled/1000)/((C38+D38/1000)/J38),IF(AND(ISNUMBER(C38),ISNUMBER(C39),C40=""),(Ms_filled_nom+Cs_filled/1000)/((C38+D38/1000)/J38+(C39+D39/1000)/J39),(Ms_filled_nom+Cs_filled/1000)/((C38+D38/1000)/J38+(C39+D39/1000)/J39+(C40+D40/1000)/J40))))</f>
      </c>
      <c r="K41" s="175">
        <f>IF(C38="","",IF(AND(ISNUMBER(C38),C39=""),(Ms_filled_nom+Cs_filled/1000)/((C38+D38/1000)/K38),IF(AND(ISNUMBER(C38),ISNUMBER(C39),C40=""),(Ms_filled_nom+Cs_filled/1000)/((C38+D38/1000)/K38+(C39+D39/1000)/K39),(Ms_filled_nom+Cs_filled/1000)/((C38+D38/1000)/K38+(C39+D39/1000)/K39+(C40+D40/1000)/K40))))</f>
      </c>
    </row>
    <row r="42" spans="1:11" ht="15.75" customHeight="1">
      <c r="A42" s="571">
        <f>IF(OR(option="",option="Option A"),"","Ms (empty/
drained)")</f>
      </c>
      <c r="B42" s="8"/>
      <c r="C42" s="424"/>
      <c r="D42" s="542"/>
      <c r="E42" s="543"/>
      <c r="F42" s="554"/>
      <c r="G42" s="555"/>
      <c r="H42" s="424"/>
      <c r="I42" s="424"/>
      <c r="J42" s="424"/>
      <c r="K42" s="424"/>
    </row>
    <row r="43" spans="1:11" ht="15.75" customHeight="1">
      <c r="A43" s="572"/>
      <c r="B43" s="8"/>
      <c r="C43" s="424"/>
      <c r="D43" s="542"/>
      <c r="E43" s="543"/>
      <c r="F43" s="574"/>
      <c r="G43" s="575"/>
      <c r="H43" s="424"/>
      <c r="I43" s="424"/>
      <c r="J43" s="424"/>
      <c r="K43" s="424"/>
    </row>
    <row r="44" spans="1:11" ht="15.75" customHeight="1">
      <c r="A44" s="572"/>
      <c r="B44" s="8"/>
      <c r="C44" s="424"/>
      <c r="D44" s="542"/>
      <c r="E44" s="543"/>
      <c r="F44" s="574"/>
      <c r="G44" s="575"/>
      <c r="H44" s="424"/>
      <c r="I44" s="424"/>
      <c r="J44" s="424"/>
      <c r="K44" s="424"/>
    </row>
    <row r="45" spans="1:11" ht="15.75" customHeight="1">
      <c r="A45" s="573"/>
      <c r="B45" s="176">
        <f>IF(OR(option="Option A",option=""),"","Ms empty =")</f>
      </c>
      <c r="C45" s="177">
        <f>IF(OR(option="Option A",C42=""),"",SUM(C42:C44))</f>
      </c>
      <c r="D45" s="558">
        <f>IF(OR(option="Option A",C42=""),"",SUM(D42:E44))</f>
      </c>
      <c r="E45" s="559"/>
      <c r="F45" s="595">
        <f>IF(C42="","",IF(AND(C43="",C44=""),F42/H42,IF(AND(ISNUMBER(F42),ISNUMBER(F43),F44=""),SUM(F42/H42+F43/H43),SUM(F42/H42+F43/H43+F44/H44))))</f>
      </c>
      <c r="G45" s="596"/>
      <c r="H45" s="177">
        <f>IF(OR(option="Option A",C42=""),"",1)</f>
      </c>
      <c r="I45" s="313">
        <f>IF(C42="","",IF(AND(C43="",C44=""),I42,IF(AND(ISNUMBER(C42),ISNUMBER(C43),C44=""),ROUNDDOWN(SQRT(((F42/H42)*I42^2+(F43/H43)*I43^2)/SUM((F42/H42)+(F42/H42))),0),ROUNDDOWN(SQRT(((F42/H42)*I42^2+(F43/H43)*I43^2+(F44/H44)*I44^2)/SUM((F42/H42)+(F43/H43)+(F44/H44))),0))))</f>
      </c>
      <c r="J45" s="313">
        <f>IF(C42="","",IF(AND(ISNUMBER(C42),C43=""),(Ms_empty_nom+Cs_empty/1000)/((C42+D42/1000)/J42),IF(AND(ISNUMBER(C42),ISNUMBER(C43),C44=""),(Ms_empty_nom+Cs_empty/1000)/((C42+D42/1000)/J42+(C43+D43/1000)/J43),(Ms_empty_nom+Cs_empty/1000)/((C42+D42/1000)/J42+(C43+D43/1000)/J43+(C44+D44/1000)/J44))))</f>
      </c>
      <c r="K45" s="313">
        <f>IF(C42="","",IF(AND(ISNUMBER(C42),C43=""),(Ms_empty_nom+Cs_empty/1000)/((C42+D42/1000)/K42),IF(AND(ISNUMBER(C42),ISNUMBER(C43),C44=""),(Ms_empty_nom+Cs_empty/1000)/((C42+D42/1000)/K42+(C43+D43/1000)/K43),(Ms_empty_nom+Cs_empty/1000)/((C42+D42/1000)/K42+(C43+D43/1000)/K43+(C44+D44/1000)/K44))))</f>
      </c>
    </row>
    <row r="46" spans="1:17" s="50" customFormat="1" ht="12" customHeight="1">
      <c r="A46" s="60"/>
      <c r="B46" s="60"/>
      <c r="C46" s="60"/>
      <c r="D46" s="60"/>
      <c r="E46" s="60"/>
      <c r="F46" s="60"/>
      <c r="G46" s="60"/>
      <c r="H46" s="60"/>
      <c r="I46" s="60"/>
      <c r="J46" s="60"/>
      <c r="K46" s="60"/>
      <c r="M46" s="53"/>
      <c r="N46" s="53"/>
      <c r="O46" s="53"/>
      <c r="P46" s="53"/>
      <c r="Q46" s="53"/>
    </row>
    <row r="47" spans="1:16" s="50" customFormat="1" ht="15.75" customHeight="1" thickBot="1">
      <c r="A47" s="62" t="s">
        <v>9</v>
      </c>
      <c r="B47" s="63"/>
      <c r="C47" s="63"/>
      <c r="D47" s="63"/>
      <c r="E47" s="63"/>
      <c r="F47" s="63"/>
      <c r="G47" s="64"/>
      <c r="H47" s="64"/>
      <c r="I47" s="64"/>
      <c r="J47" s="309"/>
      <c r="K47" s="309"/>
      <c r="M47" s="53"/>
      <c r="N47" s="53"/>
      <c r="O47" s="53"/>
      <c r="P47" s="65"/>
    </row>
    <row r="48" spans="1:16" s="50" customFormat="1" ht="30.75" customHeight="1">
      <c r="A48" s="167" t="s">
        <v>77</v>
      </c>
      <c r="B48" s="168"/>
      <c r="C48" s="169" t="s">
        <v>6</v>
      </c>
      <c r="D48" s="525" t="s">
        <v>11</v>
      </c>
      <c r="E48" s="526"/>
      <c r="F48" s="525" t="s">
        <v>149</v>
      </c>
      <c r="G48" s="526"/>
      <c r="H48" s="560" t="s">
        <v>471</v>
      </c>
      <c r="I48" s="561"/>
      <c r="J48" s="620" t="s">
        <v>157</v>
      </c>
      <c r="K48" s="621"/>
      <c r="M48" s="53"/>
      <c r="N48" s="53"/>
      <c r="O48" s="53"/>
      <c r="P48" s="53"/>
    </row>
    <row r="49" spans="1:16" s="50" customFormat="1" ht="15.75" customHeight="1">
      <c r="A49" s="170" t="s">
        <v>74</v>
      </c>
      <c r="B49" s="171"/>
      <c r="C49" s="145"/>
      <c r="D49" s="527"/>
      <c r="E49" s="528"/>
      <c r="F49" s="527"/>
      <c r="G49" s="528"/>
      <c r="H49" s="527"/>
      <c r="I49" s="619"/>
      <c r="J49" s="622" t="s">
        <v>72</v>
      </c>
      <c r="K49" s="623"/>
      <c r="M49" s="53"/>
      <c r="N49" s="61"/>
      <c r="O49" s="61"/>
      <c r="P49" s="61"/>
    </row>
    <row r="50" spans="1:16" s="50" customFormat="1" ht="15.75" customHeight="1">
      <c r="A50" s="172" t="s">
        <v>73</v>
      </c>
      <c r="B50" s="173"/>
      <c r="C50" s="145"/>
      <c r="D50" s="529"/>
      <c r="E50" s="530"/>
      <c r="F50" s="529"/>
      <c r="G50" s="530"/>
      <c r="H50" s="529"/>
      <c r="I50" s="576"/>
      <c r="J50" s="533" t="s">
        <v>72</v>
      </c>
      <c r="K50" s="534"/>
      <c r="M50" s="53"/>
      <c r="N50" s="61"/>
      <c r="O50" s="53"/>
      <c r="P50" s="53"/>
    </row>
    <row r="51" spans="1:16" s="50" customFormat="1" ht="15.75" customHeight="1">
      <c r="A51" s="172" t="s">
        <v>75</v>
      </c>
      <c r="B51" s="173"/>
      <c r="C51" s="145"/>
      <c r="D51" s="529"/>
      <c r="E51" s="530"/>
      <c r="F51" s="529"/>
      <c r="G51" s="530"/>
      <c r="H51" s="529"/>
      <c r="I51" s="576"/>
      <c r="J51" s="533" t="s">
        <v>472</v>
      </c>
      <c r="K51" s="534"/>
      <c r="M51" s="53"/>
      <c r="N51" s="53"/>
      <c r="O51" s="53"/>
      <c r="P51" s="53"/>
    </row>
    <row r="52" spans="1:16" s="50" customFormat="1" ht="15.75" customHeight="1">
      <c r="A52" s="172" t="s">
        <v>76</v>
      </c>
      <c r="B52" s="173"/>
      <c r="C52" s="145"/>
      <c r="D52" s="529"/>
      <c r="E52" s="530"/>
      <c r="F52" s="529"/>
      <c r="G52" s="530"/>
      <c r="H52" s="529"/>
      <c r="I52" s="576"/>
      <c r="J52" s="533" t="s">
        <v>473</v>
      </c>
      <c r="K52" s="534"/>
      <c r="M52" s="53"/>
      <c r="N52" s="53"/>
      <c r="O52" s="53"/>
      <c r="P52" s="53"/>
    </row>
    <row r="53" spans="1:16" s="50" customFormat="1" ht="12" customHeight="1">
      <c r="A53" s="60"/>
      <c r="B53" s="60"/>
      <c r="C53" s="60"/>
      <c r="D53" s="60"/>
      <c r="E53" s="60"/>
      <c r="F53" s="60"/>
      <c r="G53" s="60"/>
      <c r="H53" s="60"/>
      <c r="I53" s="60"/>
      <c r="J53" s="60"/>
      <c r="K53" s="60"/>
      <c r="M53" s="53"/>
      <c r="N53" s="53"/>
      <c r="O53" s="53"/>
      <c r="P53" s="53"/>
    </row>
    <row r="54" spans="1:16" s="50" customFormat="1" ht="15.75" customHeight="1" thickBot="1">
      <c r="A54" s="314" t="s">
        <v>566</v>
      </c>
      <c r="B54" s="315"/>
      <c r="C54" s="315"/>
      <c r="D54" s="315"/>
      <c r="E54" s="315"/>
      <c r="F54" s="315"/>
      <c r="G54" s="309"/>
      <c r="H54" s="309"/>
      <c r="I54" s="309"/>
      <c r="J54" s="309"/>
      <c r="K54" s="309"/>
      <c r="M54" s="53"/>
      <c r="N54" s="53"/>
      <c r="O54" s="53"/>
      <c r="P54" s="65"/>
    </row>
    <row r="55" spans="1:16" s="50" customFormat="1" ht="42.75" customHeight="1">
      <c r="A55" s="565" t="s">
        <v>413</v>
      </c>
      <c r="B55" s="566"/>
      <c r="C55" s="566"/>
      <c r="D55" s="566"/>
      <c r="E55" s="566"/>
      <c r="F55" s="566"/>
      <c r="G55" s="566"/>
      <c r="H55" s="566"/>
      <c r="I55" s="566"/>
      <c r="J55" s="566"/>
      <c r="K55" s="567"/>
      <c r="M55" s="53"/>
      <c r="N55" s="53"/>
      <c r="O55" s="53"/>
      <c r="P55" s="53"/>
    </row>
    <row r="56" spans="1:16" s="50" customFormat="1" ht="15.75">
      <c r="A56" s="551" t="s">
        <v>279</v>
      </c>
      <c r="B56" s="551"/>
      <c r="C56" s="551"/>
      <c r="D56" s="562"/>
      <c r="E56" s="562"/>
      <c r="F56" s="568" t="s">
        <v>280</v>
      </c>
      <c r="G56" s="569"/>
      <c r="H56" s="569"/>
      <c r="I56" s="569"/>
      <c r="J56" s="569"/>
      <c r="K56" s="570"/>
      <c r="M56" s="53"/>
      <c r="N56" s="53"/>
      <c r="O56" s="53"/>
      <c r="P56" s="53"/>
    </row>
    <row r="57" spans="1:16" s="50" customFormat="1" ht="38.25" customHeight="1">
      <c r="A57" s="616">
        <f>IF(D56="","",IF(AND(D56&lt;=5,D56&gt;0.2),"The water tested meets or exceeds ASTM D-1193 specifications for Type IV Reagent Water.",IF(D56&lt;0.3,"The water tested meets or exceeds ASTM D-1193 specifications for Type III Reagent Water.","The water tested is not suitable for gravimetric calibrations, find another source of water.")))</f>
      </c>
      <c r="B57" s="617"/>
      <c r="C57" s="617"/>
      <c r="D57" s="617"/>
      <c r="E57" s="617"/>
      <c r="F57" s="617"/>
      <c r="G57" s="617"/>
      <c r="H57" s="617"/>
      <c r="I57" s="617"/>
      <c r="J57" s="617"/>
      <c r="K57" s="618"/>
      <c r="M57" s="53"/>
      <c r="N57" s="53"/>
      <c r="O57" s="53"/>
      <c r="P57" s="53"/>
    </row>
    <row r="58" spans="1:16" s="50" customFormat="1" ht="12" customHeight="1">
      <c r="A58" s="60"/>
      <c r="B58" s="60"/>
      <c r="C58" s="60"/>
      <c r="D58" s="60"/>
      <c r="E58" s="60"/>
      <c r="F58" s="60"/>
      <c r="G58" s="60"/>
      <c r="H58" s="60"/>
      <c r="I58" s="60"/>
      <c r="J58" s="60"/>
      <c r="K58" s="60"/>
      <c r="M58" s="53"/>
      <c r="N58" s="53"/>
      <c r="O58" s="53"/>
      <c r="P58" s="53"/>
    </row>
    <row r="59" spans="1:11" ht="15.75" customHeight="1" thickBot="1">
      <c r="A59" s="296" t="s">
        <v>7</v>
      </c>
      <c r="B59" s="297"/>
      <c r="C59" s="297"/>
      <c r="D59" s="297"/>
      <c r="E59" s="55"/>
      <c r="F59" s="297"/>
      <c r="G59" s="297"/>
      <c r="H59" s="297"/>
      <c r="I59" s="310"/>
      <c r="J59" s="310"/>
      <c r="K59" s="310"/>
    </row>
    <row r="60" spans="1:13" s="50" customFormat="1" ht="18">
      <c r="A60" s="563" t="str">
        <f>IF(option="Option B","USE Option B Below!","Option A - One Point Balance Calibration Trial 1")</f>
        <v>Option A - One Point Balance Calibration Trial 1</v>
      </c>
      <c r="B60" s="564"/>
      <c r="C60" s="564"/>
      <c r="D60" s="564"/>
      <c r="E60" s="564"/>
      <c r="F60" s="564"/>
      <c r="G60" s="564"/>
      <c r="H60" s="564"/>
      <c r="I60" s="563" t="str">
        <f>"Balance Unit = "&amp;BalUnits</f>
        <v>Balance Unit = </v>
      </c>
      <c r="J60" s="564"/>
      <c r="K60" s="577"/>
      <c r="M60" s="53"/>
    </row>
    <row r="61" spans="1:13" s="50" customFormat="1" ht="15.75" customHeight="1">
      <c r="A61" s="511" t="s">
        <v>461</v>
      </c>
      <c r="B61" s="512"/>
      <c r="C61" s="512"/>
      <c r="D61" s="512"/>
      <c r="E61" s="489" t="s">
        <v>111</v>
      </c>
      <c r="F61" s="490"/>
      <c r="G61" s="490"/>
      <c r="H61" s="491"/>
      <c r="I61" s="516"/>
      <c r="J61" s="517"/>
      <c r="K61" s="518"/>
      <c r="M61" s="53"/>
    </row>
    <row r="62" spans="1:13" s="50" customFormat="1" ht="15.75" customHeight="1">
      <c r="A62" s="513"/>
      <c r="B62" s="514"/>
      <c r="C62" s="514"/>
      <c r="D62" s="514"/>
      <c r="E62" s="489" t="s">
        <v>92</v>
      </c>
      <c r="F62" s="490"/>
      <c r="G62" s="490"/>
      <c r="H62" s="491"/>
      <c r="I62" s="507"/>
      <c r="J62" s="508"/>
      <c r="K62" s="509"/>
      <c r="M62" s="53"/>
    </row>
    <row r="63" spans="1:13" s="50" customFormat="1" ht="15.75" customHeight="1">
      <c r="A63" s="513"/>
      <c r="B63" s="514"/>
      <c r="C63" s="514"/>
      <c r="D63" s="514"/>
      <c r="E63" s="489" t="s">
        <v>93</v>
      </c>
      <c r="F63" s="490"/>
      <c r="G63" s="490"/>
      <c r="H63" s="491"/>
      <c r="I63" s="507"/>
      <c r="J63" s="508"/>
      <c r="K63" s="509"/>
      <c r="M63" s="53"/>
    </row>
    <row r="64" spans="1:13" s="50" customFormat="1" ht="15.75" customHeight="1">
      <c r="A64" s="513"/>
      <c r="B64" s="514"/>
      <c r="C64" s="514"/>
      <c r="D64" s="514"/>
      <c r="E64" s="489" t="s">
        <v>48</v>
      </c>
      <c r="F64" s="490"/>
      <c r="G64" s="490"/>
      <c r="H64" s="491"/>
      <c r="I64" s="507"/>
      <c r="J64" s="508"/>
      <c r="K64" s="509"/>
      <c r="M64" s="53"/>
    </row>
    <row r="65" spans="1:11" s="66" customFormat="1" ht="33.75" customHeight="1">
      <c r="A65" s="288" t="s">
        <v>467</v>
      </c>
      <c r="B65" s="485" t="s">
        <v>830</v>
      </c>
      <c r="C65" s="485"/>
      <c r="D65" s="485"/>
      <c r="E65" s="485"/>
      <c r="F65" s="485"/>
      <c r="G65" s="485"/>
      <c r="H65" s="486"/>
      <c r="I65" s="507"/>
      <c r="J65" s="508"/>
      <c r="K65" s="509"/>
    </row>
    <row r="66" spans="1:15" s="66" customFormat="1" ht="33.75" customHeight="1">
      <c r="A66" s="288" t="s">
        <v>468</v>
      </c>
      <c r="B66" s="485" t="s">
        <v>459</v>
      </c>
      <c r="C66" s="485"/>
      <c r="D66" s="485"/>
      <c r="E66" s="485"/>
      <c r="F66" s="485"/>
      <c r="G66" s="485"/>
      <c r="H66" s="486"/>
      <c r="I66" s="507"/>
      <c r="J66" s="508"/>
      <c r="K66" s="509"/>
      <c r="M66" s="65"/>
      <c r="O66" s="50"/>
    </row>
    <row r="67" spans="1:15" s="66" customFormat="1" ht="33.75" customHeight="1">
      <c r="A67" s="504" t="s">
        <v>463</v>
      </c>
      <c r="B67" s="505"/>
      <c r="C67" s="505"/>
      <c r="D67" s="505"/>
      <c r="E67" s="505"/>
      <c r="F67" s="505"/>
      <c r="G67" s="505"/>
      <c r="H67" s="506"/>
      <c r="I67" s="507"/>
      <c r="J67" s="508"/>
      <c r="K67" s="509"/>
      <c r="M67" s="65"/>
      <c r="O67" s="50"/>
    </row>
    <row r="68" spans="1:15" s="66" customFormat="1" ht="33.75" customHeight="1">
      <c r="A68" s="288" t="s">
        <v>469</v>
      </c>
      <c r="B68" s="485" t="s">
        <v>460</v>
      </c>
      <c r="C68" s="485"/>
      <c r="D68" s="485"/>
      <c r="E68" s="485"/>
      <c r="F68" s="485"/>
      <c r="G68" s="485"/>
      <c r="H68" s="486"/>
      <c r="I68" s="507"/>
      <c r="J68" s="508"/>
      <c r="K68" s="509"/>
      <c r="M68" s="65"/>
      <c r="O68" s="50"/>
    </row>
    <row r="69" spans="1:15" s="66" customFormat="1" ht="33.75" customHeight="1">
      <c r="A69" s="504" t="s">
        <v>464</v>
      </c>
      <c r="B69" s="505"/>
      <c r="C69" s="505"/>
      <c r="D69" s="505"/>
      <c r="E69" s="505"/>
      <c r="F69" s="505"/>
      <c r="G69" s="505"/>
      <c r="H69" s="506"/>
      <c r="I69" s="507"/>
      <c r="J69" s="508"/>
      <c r="K69" s="509"/>
      <c r="O69" s="50"/>
    </row>
    <row r="70" spans="1:11" s="66" customFormat="1" ht="19.5" customHeight="1">
      <c r="A70" s="519">
        <f>IF(A_tw1after="","",IF(ABS(A_tw1before-A_tw1after)&gt;0.2," ***Water Temperature is Outside Parameters, Redo Trial 1 ***","*** Water Temperature is Within Parameters, Continue With Trial 2 Measurements ***"))</f>
      </c>
      <c r="B70" s="520"/>
      <c r="C70" s="520"/>
      <c r="D70" s="520"/>
      <c r="E70" s="520"/>
      <c r="F70" s="520"/>
      <c r="G70" s="520"/>
      <c r="H70" s="520"/>
      <c r="I70" s="520"/>
      <c r="J70" s="520"/>
      <c r="K70" s="521"/>
    </row>
    <row r="71" spans="1:11" s="50" customFormat="1" ht="15.75" customHeight="1">
      <c r="A71" s="492" t="s">
        <v>462</v>
      </c>
      <c r="B71" s="493"/>
      <c r="C71" s="493"/>
      <c r="D71" s="494"/>
      <c r="E71" s="501" t="s">
        <v>92</v>
      </c>
      <c r="F71" s="502"/>
      <c r="G71" s="502"/>
      <c r="H71" s="503"/>
      <c r="I71" s="507"/>
      <c r="J71" s="508"/>
      <c r="K71" s="509"/>
    </row>
    <row r="72" spans="1:11" s="50" customFormat="1" ht="15.75" customHeight="1">
      <c r="A72" s="495"/>
      <c r="B72" s="496"/>
      <c r="C72" s="496"/>
      <c r="D72" s="497"/>
      <c r="E72" s="501" t="s">
        <v>93</v>
      </c>
      <c r="F72" s="502"/>
      <c r="G72" s="502"/>
      <c r="H72" s="503"/>
      <c r="I72" s="507"/>
      <c r="J72" s="508"/>
      <c r="K72" s="509"/>
    </row>
    <row r="73" spans="1:11" s="50" customFormat="1" ht="15.75" customHeight="1">
      <c r="A73" s="495"/>
      <c r="B73" s="496"/>
      <c r="C73" s="496"/>
      <c r="D73" s="497"/>
      <c r="E73" s="501" t="s">
        <v>48</v>
      </c>
      <c r="F73" s="502"/>
      <c r="G73" s="502"/>
      <c r="H73" s="503"/>
      <c r="I73" s="507"/>
      <c r="J73" s="508"/>
      <c r="K73" s="509"/>
    </row>
    <row r="74" spans="1:11" s="66" customFormat="1" ht="15.75" customHeight="1">
      <c r="A74" s="498"/>
      <c r="B74" s="499"/>
      <c r="C74" s="499"/>
      <c r="D74" s="500"/>
      <c r="E74" s="501" t="s">
        <v>112</v>
      </c>
      <c r="F74" s="502"/>
      <c r="G74" s="502"/>
      <c r="H74" s="503"/>
      <c r="I74" s="516"/>
      <c r="J74" s="517"/>
      <c r="K74" s="518"/>
    </row>
    <row r="75" spans="1:11" s="50" customFormat="1" ht="18">
      <c r="A75" s="487" t="str">
        <f>IF(option="Option B","USE Option B Below!","Option A - One Point Balance Calibration Trial 2")</f>
        <v>Option A - One Point Balance Calibration Trial 2</v>
      </c>
      <c r="B75" s="488"/>
      <c r="C75" s="488"/>
      <c r="D75" s="488"/>
      <c r="E75" s="488"/>
      <c r="F75" s="488"/>
      <c r="G75" s="488"/>
      <c r="H75" s="488"/>
      <c r="I75" s="488" t="str">
        <f>"Balance Unit = "&amp;BalUnits</f>
        <v>Balance Unit = </v>
      </c>
      <c r="J75" s="488"/>
      <c r="K75" s="515"/>
    </row>
    <row r="76" spans="1:11" s="50" customFormat="1" ht="15.75" customHeight="1">
      <c r="A76" s="511" t="s">
        <v>465</v>
      </c>
      <c r="B76" s="512"/>
      <c r="C76" s="512"/>
      <c r="D76" s="512"/>
      <c r="E76" s="489" t="s">
        <v>111</v>
      </c>
      <c r="F76" s="490"/>
      <c r="G76" s="490"/>
      <c r="H76" s="491"/>
      <c r="I76" s="516"/>
      <c r="J76" s="517"/>
      <c r="K76" s="518"/>
    </row>
    <row r="77" spans="1:11" s="50" customFormat="1" ht="15.75" customHeight="1">
      <c r="A77" s="513"/>
      <c r="B77" s="514"/>
      <c r="C77" s="514"/>
      <c r="D77" s="514"/>
      <c r="E77" s="489" t="s">
        <v>92</v>
      </c>
      <c r="F77" s="490"/>
      <c r="G77" s="490"/>
      <c r="H77" s="491"/>
      <c r="I77" s="507"/>
      <c r="J77" s="508"/>
      <c r="K77" s="509"/>
    </row>
    <row r="78" spans="1:11" s="50" customFormat="1" ht="15.75" customHeight="1">
      <c r="A78" s="513"/>
      <c r="B78" s="514"/>
      <c r="C78" s="514"/>
      <c r="D78" s="514"/>
      <c r="E78" s="489" t="s">
        <v>93</v>
      </c>
      <c r="F78" s="490"/>
      <c r="G78" s="490"/>
      <c r="H78" s="491"/>
      <c r="I78" s="507"/>
      <c r="J78" s="508"/>
      <c r="K78" s="509"/>
    </row>
    <row r="79" spans="1:11" s="50" customFormat="1" ht="15.75" customHeight="1">
      <c r="A79" s="513"/>
      <c r="B79" s="514"/>
      <c r="C79" s="514"/>
      <c r="D79" s="514"/>
      <c r="E79" s="489" t="s">
        <v>48</v>
      </c>
      <c r="F79" s="490"/>
      <c r="G79" s="490"/>
      <c r="H79" s="491"/>
      <c r="I79" s="507"/>
      <c r="J79" s="508"/>
      <c r="K79" s="509"/>
    </row>
    <row r="80" spans="1:11" s="66" customFormat="1" ht="33.75" customHeight="1">
      <c r="A80" s="288" t="s">
        <v>467</v>
      </c>
      <c r="B80" s="485" t="s">
        <v>830</v>
      </c>
      <c r="C80" s="485"/>
      <c r="D80" s="485"/>
      <c r="E80" s="485"/>
      <c r="F80" s="485"/>
      <c r="G80" s="485"/>
      <c r="H80" s="486"/>
      <c r="I80" s="507"/>
      <c r="J80" s="508"/>
      <c r="K80" s="509"/>
    </row>
    <row r="81" spans="1:15" s="66" customFormat="1" ht="33.75" customHeight="1">
      <c r="A81" s="288" t="s">
        <v>468</v>
      </c>
      <c r="B81" s="485" t="s">
        <v>459</v>
      </c>
      <c r="C81" s="485"/>
      <c r="D81" s="485"/>
      <c r="E81" s="485"/>
      <c r="F81" s="485"/>
      <c r="G81" s="485"/>
      <c r="H81" s="486"/>
      <c r="I81" s="507"/>
      <c r="J81" s="508"/>
      <c r="K81" s="509"/>
      <c r="O81" s="50"/>
    </row>
    <row r="82" spans="1:11" s="66" customFormat="1" ht="33.75" customHeight="1">
      <c r="A82" s="504" t="s">
        <v>463</v>
      </c>
      <c r="B82" s="505"/>
      <c r="C82" s="505"/>
      <c r="D82" s="505"/>
      <c r="E82" s="505"/>
      <c r="F82" s="505"/>
      <c r="G82" s="505"/>
      <c r="H82" s="506"/>
      <c r="I82" s="507"/>
      <c r="J82" s="508"/>
      <c r="K82" s="509"/>
    </row>
    <row r="83" spans="1:11" s="66" customFormat="1" ht="33.75" customHeight="1">
      <c r="A83" s="288" t="s">
        <v>469</v>
      </c>
      <c r="B83" s="485" t="s">
        <v>460</v>
      </c>
      <c r="C83" s="485"/>
      <c r="D83" s="485"/>
      <c r="E83" s="485"/>
      <c r="F83" s="485"/>
      <c r="G83" s="485"/>
      <c r="H83" s="486"/>
      <c r="I83" s="507"/>
      <c r="J83" s="508"/>
      <c r="K83" s="509"/>
    </row>
    <row r="84" spans="1:15" s="66" customFormat="1" ht="33.75" customHeight="1">
      <c r="A84" s="504" t="s">
        <v>464</v>
      </c>
      <c r="B84" s="505"/>
      <c r="C84" s="505"/>
      <c r="D84" s="505"/>
      <c r="E84" s="505"/>
      <c r="F84" s="505"/>
      <c r="G84" s="505"/>
      <c r="H84" s="506"/>
      <c r="I84" s="507"/>
      <c r="J84" s="508"/>
      <c r="K84" s="509"/>
      <c r="O84" s="50"/>
    </row>
    <row r="85" spans="1:15" s="66" customFormat="1" ht="19.5" customHeight="1">
      <c r="A85" s="519">
        <f>IF(A_tw2after="","",IF(ABS(A_tw2before-A_tw2after)&gt;0.2," ***Water Temperature is Outside Parameters, Redo Trial 1 ***","*** Water Temperature is Within Parameters, Continue With Trial 2 Measurements ***"))</f>
      </c>
      <c r="B85" s="520"/>
      <c r="C85" s="520"/>
      <c r="D85" s="520"/>
      <c r="E85" s="520"/>
      <c r="F85" s="520"/>
      <c r="G85" s="520"/>
      <c r="H85" s="520"/>
      <c r="I85" s="520"/>
      <c r="J85" s="520"/>
      <c r="K85" s="521"/>
      <c r="O85" s="50"/>
    </row>
    <row r="86" spans="1:11" s="50" customFormat="1" ht="15.75" customHeight="1">
      <c r="A86" s="492" t="s">
        <v>466</v>
      </c>
      <c r="B86" s="493"/>
      <c r="C86" s="493"/>
      <c r="D86" s="494"/>
      <c r="E86" s="501" t="s">
        <v>92</v>
      </c>
      <c r="F86" s="502"/>
      <c r="G86" s="502"/>
      <c r="H86" s="503"/>
      <c r="I86" s="507"/>
      <c r="J86" s="508"/>
      <c r="K86" s="509"/>
    </row>
    <row r="87" spans="1:11" s="50" customFormat="1" ht="15.75" customHeight="1">
      <c r="A87" s="495"/>
      <c r="B87" s="496"/>
      <c r="C87" s="496"/>
      <c r="D87" s="497"/>
      <c r="E87" s="501" t="s">
        <v>93</v>
      </c>
      <c r="F87" s="502"/>
      <c r="G87" s="502"/>
      <c r="H87" s="503"/>
      <c r="I87" s="507"/>
      <c r="J87" s="508"/>
      <c r="K87" s="509"/>
    </row>
    <row r="88" spans="1:11" s="50" customFormat="1" ht="15.75" customHeight="1">
      <c r="A88" s="495"/>
      <c r="B88" s="496"/>
      <c r="C88" s="496"/>
      <c r="D88" s="497"/>
      <c r="E88" s="501" t="s">
        <v>48</v>
      </c>
      <c r="F88" s="502"/>
      <c r="G88" s="502"/>
      <c r="H88" s="503"/>
      <c r="I88" s="507"/>
      <c r="J88" s="508"/>
      <c r="K88" s="509"/>
    </row>
    <row r="89" spans="1:11" s="66" customFormat="1" ht="15.75" customHeight="1">
      <c r="A89" s="498"/>
      <c r="B89" s="499"/>
      <c r="C89" s="499"/>
      <c r="D89" s="500"/>
      <c r="E89" s="501" t="s">
        <v>112</v>
      </c>
      <c r="F89" s="502"/>
      <c r="G89" s="502"/>
      <c r="H89" s="503"/>
      <c r="I89" s="516"/>
      <c r="J89" s="517"/>
      <c r="K89" s="518"/>
    </row>
    <row r="90" spans="1:11" s="66" customFormat="1" ht="19.5" customHeight="1">
      <c r="A90" s="611"/>
      <c r="B90" s="612"/>
      <c r="C90" s="612"/>
      <c r="D90" s="612"/>
      <c r="E90" s="612"/>
      <c r="F90" s="612"/>
      <c r="G90" s="612"/>
      <c r="H90" s="612"/>
      <c r="I90" s="612"/>
      <c r="J90" s="612"/>
      <c r="K90" s="613"/>
    </row>
    <row r="91" spans="1:13" s="50" customFormat="1" ht="18">
      <c r="A91" s="487" t="str">
        <f>IF(option="Option A","USE Option A Above!","Option B - One Point Balance Calibration Trial 1")</f>
        <v>Option B - One Point Balance Calibration Trial 1</v>
      </c>
      <c r="B91" s="488"/>
      <c r="C91" s="488"/>
      <c r="D91" s="488"/>
      <c r="E91" s="488"/>
      <c r="F91" s="488"/>
      <c r="G91" s="488"/>
      <c r="H91" s="488"/>
      <c r="I91" s="609" t="str">
        <f>"Balance Unit = "&amp;BalUnits</f>
        <v>Balance Unit = </v>
      </c>
      <c r="J91" s="609"/>
      <c r="K91" s="610"/>
      <c r="M91" s="53"/>
    </row>
    <row r="92" spans="1:13" s="50" customFormat="1" ht="15.75" customHeight="1">
      <c r="A92" s="511" t="s">
        <v>461</v>
      </c>
      <c r="B92" s="512"/>
      <c r="C92" s="512"/>
      <c r="D92" s="512"/>
      <c r="E92" s="489" t="s">
        <v>111</v>
      </c>
      <c r="F92" s="490"/>
      <c r="G92" s="490"/>
      <c r="H92" s="491"/>
      <c r="I92" s="516"/>
      <c r="J92" s="517"/>
      <c r="K92" s="518"/>
      <c r="M92" s="53"/>
    </row>
    <row r="93" spans="1:13" s="50" customFormat="1" ht="15.75" customHeight="1">
      <c r="A93" s="513"/>
      <c r="B93" s="514"/>
      <c r="C93" s="514"/>
      <c r="D93" s="514"/>
      <c r="E93" s="489" t="s">
        <v>92</v>
      </c>
      <c r="F93" s="490"/>
      <c r="G93" s="490"/>
      <c r="H93" s="491"/>
      <c r="I93" s="507"/>
      <c r="J93" s="508"/>
      <c r="K93" s="509"/>
      <c r="M93" s="53"/>
    </row>
    <row r="94" spans="1:13" s="50" customFormat="1" ht="15.75" customHeight="1">
      <c r="A94" s="513"/>
      <c r="B94" s="514"/>
      <c r="C94" s="514"/>
      <c r="D94" s="514"/>
      <c r="E94" s="489" t="s">
        <v>93</v>
      </c>
      <c r="F94" s="490"/>
      <c r="G94" s="490"/>
      <c r="H94" s="491"/>
      <c r="I94" s="507"/>
      <c r="J94" s="508"/>
      <c r="K94" s="509"/>
      <c r="M94" s="53"/>
    </row>
    <row r="95" spans="1:13" s="50" customFormat="1" ht="15.75" customHeight="1">
      <c r="A95" s="513"/>
      <c r="B95" s="514"/>
      <c r="C95" s="514"/>
      <c r="D95" s="514"/>
      <c r="E95" s="489" t="s">
        <v>48</v>
      </c>
      <c r="F95" s="490"/>
      <c r="G95" s="490"/>
      <c r="H95" s="491"/>
      <c r="I95" s="507"/>
      <c r="J95" s="508"/>
      <c r="K95" s="509"/>
      <c r="M95" s="53"/>
    </row>
    <row r="96" spans="1:11" s="66" customFormat="1" ht="33.75" customHeight="1">
      <c r="A96" s="288" t="s">
        <v>467</v>
      </c>
      <c r="B96" s="485" t="s">
        <v>829</v>
      </c>
      <c r="C96" s="485"/>
      <c r="D96" s="485"/>
      <c r="E96" s="485"/>
      <c r="F96" s="485"/>
      <c r="G96" s="485"/>
      <c r="H96" s="486"/>
      <c r="I96" s="507"/>
      <c r="J96" s="508"/>
      <c r="K96" s="509"/>
    </row>
    <row r="97" spans="1:15" s="66" customFormat="1" ht="33.75" customHeight="1">
      <c r="A97" s="288" t="s">
        <v>468</v>
      </c>
      <c r="B97" s="485" t="s">
        <v>459</v>
      </c>
      <c r="C97" s="485"/>
      <c r="D97" s="485"/>
      <c r="E97" s="485"/>
      <c r="F97" s="485"/>
      <c r="G97" s="485"/>
      <c r="H97" s="486"/>
      <c r="I97" s="507"/>
      <c r="J97" s="508"/>
      <c r="K97" s="509"/>
      <c r="M97" s="65"/>
      <c r="O97" s="50"/>
    </row>
    <row r="98" spans="1:15" s="66" customFormat="1" ht="33.75" customHeight="1">
      <c r="A98" s="288" t="s">
        <v>469</v>
      </c>
      <c r="B98" s="485" t="s">
        <v>830</v>
      </c>
      <c r="C98" s="485"/>
      <c r="D98" s="485"/>
      <c r="E98" s="485"/>
      <c r="F98" s="485"/>
      <c r="G98" s="485"/>
      <c r="H98" s="486"/>
      <c r="I98" s="507"/>
      <c r="J98" s="508"/>
      <c r="K98" s="509"/>
      <c r="M98" s="65"/>
      <c r="O98" s="50"/>
    </row>
    <row r="99" spans="1:15" s="66" customFormat="1" ht="33.75" customHeight="1">
      <c r="A99" s="504" t="s">
        <v>463</v>
      </c>
      <c r="B99" s="505"/>
      <c r="C99" s="505"/>
      <c r="D99" s="505"/>
      <c r="E99" s="505"/>
      <c r="F99" s="505"/>
      <c r="G99" s="505"/>
      <c r="H99" s="506"/>
      <c r="I99" s="507"/>
      <c r="J99" s="508"/>
      <c r="K99" s="509"/>
      <c r="M99" s="65"/>
      <c r="O99" s="50"/>
    </row>
    <row r="100" spans="1:15" s="66" customFormat="1" ht="33.75" customHeight="1">
      <c r="A100" s="288" t="s">
        <v>470</v>
      </c>
      <c r="B100" s="485" t="s">
        <v>460</v>
      </c>
      <c r="C100" s="485"/>
      <c r="D100" s="485"/>
      <c r="E100" s="485"/>
      <c r="F100" s="485"/>
      <c r="G100" s="485"/>
      <c r="H100" s="486"/>
      <c r="I100" s="507"/>
      <c r="J100" s="508"/>
      <c r="K100" s="509"/>
      <c r="M100" s="65"/>
      <c r="O100" s="50"/>
    </row>
    <row r="101" spans="1:15" s="66" customFormat="1" ht="33.75" customHeight="1">
      <c r="A101" s="504" t="s">
        <v>464</v>
      </c>
      <c r="B101" s="505"/>
      <c r="C101" s="505"/>
      <c r="D101" s="505"/>
      <c r="E101" s="505"/>
      <c r="F101" s="505"/>
      <c r="G101" s="505"/>
      <c r="H101" s="506"/>
      <c r="I101" s="507"/>
      <c r="J101" s="508"/>
      <c r="K101" s="509"/>
      <c r="O101" s="50"/>
    </row>
    <row r="102" spans="1:11" s="66" customFormat="1" ht="19.5" customHeight="1">
      <c r="A102" s="519">
        <f>IF(B_tw1after="","",IF(ABS(B_tw1before-B_tw1after)&gt;0.2," ***Water Temperature is Outside Parameters, Redo Trial 1 ***","*** Water Temperature is Within Parameters, Continue With Trial 2 Measurements ***"))</f>
      </c>
      <c r="B102" s="520"/>
      <c r="C102" s="520"/>
      <c r="D102" s="520"/>
      <c r="E102" s="520"/>
      <c r="F102" s="520"/>
      <c r="G102" s="520"/>
      <c r="H102" s="520"/>
      <c r="I102" s="520"/>
      <c r="J102" s="520"/>
      <c r="K102" s="521"/>
    </row>
    <row r="103" spans="1:11" s="50" customFormat="1" ht="15.75" customHeight="1">
      <c r="A103" s="492" t="s">
        <v>462</v>
      </c>
      <c r="B103" s="493"/>
      <c r="C103" s="493"/>
      <c r="D103" s="494"/>
      <c r="E103" s="501" t="s">
        <v>92</v>
      </c>
      <c r="F103" s="502"/>
      <c r="G103" s="502"/>
      <c r="H103" s="503"/>
      <c r="I103" s="507"/>
      <c r="J103" s="508"/>
      <c r="K103" s="509"/>
    </row>
    <row r="104" spans="1:11" s="50" customFormat="1" ht="15.75" customHeight="1">
      <c r="A104" s="495"/>
      <c r="B104" s="496"/>
      <c r="C104" s="496"/>
      <c r="D104" s="497"/>
      <c r="E104" s="501" t="s">
        <v>93</v>
      </c>
      <c r="F104" s="502"/>
      <c r="G104" s="502"/>
      <c r="H104" s="503"/>
      <c r="I104" s="507"/>
      <c r="J104" s="508"/>
      <c r="K104" s="509"/>
    </row>
    <row r="105" spans="1:11" s="50" customFormat="1" ht="15.75" customHeight="1">
      <c r="A105" s="495"/>
      <c r="B105" s="496"/>
      <c r="C105" s="496"/>
      <c r="D105" s="497"/>
      <c r="E105" s="501" t="s">
        <v>48</v>
      </c>
      <c r="F105" s="502"/>
      <c r="G105" s="502"/>
      <c r="H105" s="503"/>
      <c r="I105" s="507"/>
      <c r="J105" s="508"/>
      <c r="K105" s="509"/>
    </row>
    <row r="106" spans="1:11" s="66" customFormat="1" ht="15.75" customHeight="1">
      <c r="A106" s="498"/>
      <c r="B106" s="499"/>
      <c r="C106" s="499"/>
      <c r="D106" s="500"/>
      <c r="E106" s="501" t="s">
        <v>112</v>
      </c>
      <c r="F106" s="502"/>
      <c r="G106" s="502"/>
      <c r="H106" s="503"/>
      <c r="I106" s="516"/>
      <c r="J106" s="517"/>
      <c r="K106" s="518"/>
    </row>
    <row r="107" spans="1:11" s="50" customFormat="1" ht="18">
      <c r="A107" s="487" t="str">
        <f>IF(option="Option A","USE Option A Above!","Option B - One Point Balance Calibration Trial 2")</f>
        <v>Option B - One Point Balance Calibration Trial 2</v>
      </c>
      <c r="B107" s="488"/>
      <c r="C107" s="488"/>
      <c r="D107" s="488"/>
      <c r="E107" s="488"/>
      <c r="F107" s="488"/>
      <c r="G107" s="488"/>
      <c r="H107" s="488"/>
      <c r="I107" s="488" t="str">
        <f>"Balance Unit = "&amp;BalUnits</f>
        <v>Balance Unit = </v>
      </c>
      <c r="J107" s="488"/>
      <c r="K107" s="515"/>
    </row>
    <row r="108" spans="1:11" s="50" customFormat="1" ht="15.75" customHeight="1">
      <c r="A108" s="511" t="s">
        <v>465</v>
      </c>
      <c r="B108" s="512"/>
      <c r="C108" s="512"/>
      <c r="D108" s="512"/>
      <c r="E108" s="489" t="s">
        <v>111</v>
      </c>
      <c r="F108" s="490"/>
      <c r="G108" s="490"/>
      <c r="H108" s="491"/>
      <c r="I108" s="516"/>
      <c r="J108" s="517"/>
      <c r="K108" s="518"/>
    </row>
    <row r="109" spans="1:11" s="50" customFormat="1" ht="15.75" customHeight="1">
      <c r="A109" s="513"/>
      <c r="B109" s="514"/>
      <c r="C109" s="514"/>
      <c r="D109" s="514"/>
      <c r="E109" s="489" t="s">
        <v>92</v>
      </c>
      <c r="F109" s="490"/>
      <c r="G109" s="490"/>
      <c r="H109" s="491"/>
      <c r="I109" s="507"/>
      <c r="J109" s="508"/>
      <c r="K109" s="509"/>
    </row>
    <row r="110" spans="1:11" s="50" customFormat="1" ht="15.75" customHeight="1">
      <c r="A110" s="513"/>
      <c r="B110" s="514"/>
      <c r="C110" s="514"/>
      <c r="D110" s="514"/>
      <c r="E110" s="489" t="s">
        <v>93</v>
      </c>
      <c r="F110" s="490"/>
      <c r="G110" s="490"/>
      <c r="H110" s="491"/>
      <c r="I110" s="507"/>
      <c r="J110" s="508"/>
      <c r="K110" s="509"/>
    </row>
    <row r="111" spans="1:11" s="50" customFormat="1" ht="15.75" customHeight="1">
      <c r="A111" s="513"/>
      <c r="B111" s="514"/>
      <c r="C111" s="514"/>
      <c r="D111" s="514"/>
      <c r="E111" s="489" t="s">
        <v>48</v>
      </c>
      <c r="F111" s="490"/>
      <c r="G111" s="490"/>
      <c r="H111" s="491"/>
      <c r="I111" s="507"/>
      <c r="J111" s="508"/>
      <c r="K111" s="509"/>
    </row>
    <row r="112" spans="1:11" s="66" customFormat="1" ht="33.75" customHeight="1">
      <c r="A112" s="288" t="s">
        <v>467</v>
      </c>
      <c r="B112" s="485" t="s">
        <v>829</v>
      </c>
      <c r="C112" s="485"/>
      <c r="D112" s="485"/>
      <c r="E112" s="485"/>
      <c r="F112" s="485"/>
      <c r="G112" s="485"/>
      <c r="H112" s="486"/>
      <c r="I112" s="507"/>
      <c r="J112" s="508"/>
      <c r="K112" s="509"/>
    </row>
    <row r="113" spans="1:15" s="66" customFormat="1" ht="33.75" customHeight="1">
      <c r="A113" s="288" t="s">
        <v>468</v>
      </c>
      <c r="B113" s="485" t="s">
        <v>459</v>
      </c>
      <c r="C113" s="485"/>
      <c r="D113" s="485"/>
      <c r="E113" s="485"/>
      <c r="F113" s="485"/>
      <c r="G113" s="485"/>
      <c r="H113" s="486"/>
      <c r="I113" s="507"/>
      <c r="J113" s="508"/>
      <c r="K113" s="509"/>
      <c r="O113" s="50"/>
    </row>
    <row r="114" spans="1:11" s="66" customFormat="1" ht="33.75" customHeight="1">
      <c r="A114" s="288" t="s">
        <v>469</v>
      </c>
      <c r="B114" s="485" t="s">
        <v>830</v>
      </c>
      <c r="C114" s="485"/>
      <c r="D114" s="485"/>
      <c r="E114" s="485"/>
      <c r="F114" s="485"/>
      <c r="G114" s="485"/>
      <c r="H114" s="486"/>
      <c r="I114" s="507"/>
      <c r="J114" s="508"/>
      <c r="K114" s="509"/>
    </row>
    <row r="115" spans="1:11" s="66" customFormat="1" ht="33.75" customHeight="1">
      <c r="A115" s="504" t="s">
        <v>463</v>
      </c>
      <c r="B115" s="505"/>
      <c r="C115" s="505"/>
      <c r="D115" s="505"/>
      <c r="E115" s="505"/>
      <c r="F115" s="505"/>
      <c r="G115" s="505"/>
      <c r="H115" s="506"/>
      <c r="I115" s="507"/>
      <c r="J115" s="508"/>
      <c r="K115" s="509"/>
    </row>
    <row r="116" spans="1:11" s="66" customFormat="1" ht="33.75" customHeight="1">
      <c r="A116" s="288" t="s">
        <v>470</v>
      </c>
      <c r="B116" s="485" t="s">
        <v>460</v>
      </c>
      <c r="C116" s="485"/>
      <c r="D116" s="485"/>
      <c r="E116" s="485"/>
      <c r="F116" s="485"/>
      <c r="G116" s="485"/>
      <c r="H116" s="486"/>
      <c r="I116" s="507"/>
      <c r="J116" s="508"/>
      <c r="K116" s="509"/>
    </row>
    <row r="117" spans="1:15" s="66" customFormat="1" ht="33.75" customHeight="1">
      <c r="A117" s="504" t="s">
        <v>464</v>
      </c>
      <c r="B117" s="505"/>
      <c r="C117" s="505"/>
      <c r="D117" s="505"/>
      <c r="E117" s="505"/>
      <c r="F117" s="505"/>
      <c r="G117" s="505"/>
      <c r="H117" s="506"/>
      <c r="I117" s="507"/>
      <c r="J117" s="508"/>
      <c r="K117" s="509"/>
      <c r="O117" s="50"/>
    </row>
    <row r="118" spans="1:15" s="66" customFormat="1" ht="19.5" customHeight="1">
      <c r="A118" s="519">
        <f>IF(B_tw2after="","",IF(ABS(B_tw2before-B_tw2after)&gt;0.2," ***Water Temperature is Outside Parameters, Redo Trial 1 ***","*** Water Temperature is Within Parameters, Continue With Trial 2 Measurements ***"))</f>
      </c>
      <c r="B118" s="520"/>
      <c r="C118" s="520"/>
      <c r="D118" s="520"/>
      <c r="E118" s="520"/>
      <c r="F118" s="520"/>
      <c r="G118" s="520"/>
      <c r="H118" s="520"/>
      <c r="I118" s="520"/>
      <c r="J118" s="520"/>
      <c r="K118" s="521"/>
      <c r="O118" s="50"/>
    </row>
    <row r="119" spans="1:11" s="50" customFormat="1" ht="15.75" customHeight="1">
      <c r="A119" s="492" t="s">
        <v>466</v>
      </c>
      <c r="B119" s="493"/>
      <c r="C119" s="493"/>
      <c r="D119" s="494"/>
      <c r="E119" s="510" t="s">
        <v>92</v>
      </c>
      <c r="F119" s="510"/>
      <c r="G119" s="510"/>
      <c r="H119" s="510"/>
      <c r="I119" s="625"/>
      <c r="J119" s="625"/>
      <c r="K119" s="625"/>
    </row>
    <row r="120" spans="1:11" s="50" customFormat="1" ht="15.75" customHeight="1">
      <c r="A120" s="495"/>
      <c r="B120" s="496"/>
      <c r="C120" s="496"/>
      <c r="D120" s="497"/>
      <c r="E120" s="510" t="s">
        <v>93</v>
      </c>
      <c r="F120" s="510"/>
      <c r="G120" s="510"/>
      <c r="H120" s="510"/>
      <c r="I120" s="625"/>
      <c r="J120" s="625"/>
      <c r="K120" s="625"/>
    </row>
    <row r="121" spans="1:11" s="50" customFormat="1" ht="15.75" customHeight="1">
      <c r="A121" s="495"/>
      <c r="B121" s="496"/>
      <c r="C121" s="496"/>
      <c r="D121" s="497"/>
      <c r="E121" s="510" t="s">
        <v>48</v>
      </c>
      <c r="F121" s="510"/>
      <c r="G121" s="510"/>
      <c r="H121" s="510"/>
      <c r="I121" s="625"/>
      <c r="J121" s="625"/>
      <c r="K121" s="625"/>
    </row>
    <row r="122" spans="1:11" s="66" customFormat="1" ht="15.75" customHeight="1">
      <c r="A122" s="498"/>
      <c r="B122" s="499"/>
      <c r="C122" s="499"/>
      <c r="D122" s="500"/>
      <c r="E122" s="510" t="s">
        <v>112</v>
      </c>
      <c r="F122" s="510"/>
      <c r="G122" s="510"/>
      <c r="H122" s="510"/>
      <c r="I122" s="624"/>
      <c r="J122" s="624"/>
      <c r="K122" s="624"/>
    </row>
    <row r="123" ht="12.75"/>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sheetData>
  <sheetProtection password="83AF" sheet="1" objects="1" scenarios="1" selectLockedCells="1"/>
  <mergeCells count="247">
    <mergeCell ref="D15:F15"/>
    <mergeCell ref="H15:J15"/>
    <mergeCell ref="H14:I14"/>
    <mergeCell ref="J14:K14"/>
    <mergeCell ref="D14:G14"/>
    <mergeCell ref="I23:J23"/>
    <mergeCell ref="G18:J18"/>
    <mergeCell ref="E22:H22"/>
    <mergeCell ref="J16:K16"/>
    <mergeCell ref="J17:K17"/>
    <mergeCell ref="J25:K25"/>
    <mergeCell ref="A18:E18"/>
    <mergeCell ref="A22:B22"/>
    <mergeCell ref="A24:E24"/>
    <mergeCell ref="H28:I28"/>
    <mergeCell ref="F29:G29"/>
    <mergeCell ref="B28:E28"/>
    <mergeCell ref="A25:I25"/>
    <mergeCell ref="F23:H23"/>
    <mergeCell ref="A4:G4"/>
    <mergeCell ref="A5:G5"/>
    <mergeCell ref="A6:G6"/>
    <mergeCell ref="A7:G7"/>
    <mergeCell ref="A17:I17"/>
    <mergeCell ref="G21:I21"/>
    <mergeCell ref="A15:B15"/>
    <mergeCell ref="A14:C14"/>
    <mergeCell ref="D21:E21"/>
    <mergeCell ref="A10:B10"/>
    <mergeCell ref="I115:K115"/>
    <mergeCell ref="I101:K101"/>
    <mergeCell ref="I103:K103"/>
    <mergeCell ref="I104:K104"/>
    <mergeCell ref="I105:K105"/>
    <mergeCell ref="H32:I32"/>
    <mergeCell ref="I113:K113"/>
    <mergeCell ref="I114:K114"/>
    <mergeCell ref="I110:K110"/>
    <mergeCell ref="I111:K111"/>
    <mergeCell ref="I116:K116"/>
    <mergeCell ref="I122:K122"/>
    <mergeCell ref="A118:K118"/>
    <mergeCell ref="I117:K117"/>
    <mergeCell ref="I119:K119"/>
    <mergeCell ref="I120:K120"/>
    <mergeCell ref="I121:K121"/>
    <mergeCell ref="A117:H117"/>
    <mergeCell ref="A119:D122"/>
    <mergeCell ref="E119:H119"/>
    <mergeCell ref="I112:K112"/>
    <mergeCell ref="I92:K92"/>
    <mergeCell ref="I93:K93"/>
    <mergeCell ref="I94:K94"/>
    <mergeCell ref="I95:K95"/>
    <mergeCell ref="I96:K96"/>
    <mergeCell ref="I109:K109"/>
    <mergeCell ref="I106:K106"/>
    <mergeCell ref="I91:K91"/>
    <mergeCell ref="A90:K90"/>
    <mergeCell ref="D41:E41"/>
    <mergeCell ref="A57:K57"/>
    <mergeCell ref="H49:I49"/>
    <mergeCell ref="H50:I50"/>
    <mergeCell ref="J48:K48"/>
    <mergeCell ref="J49:K49"/>
    <mergeCell ref="D43:E43"/>
    <mergeCell ref="F43:G43"/>
    <mergeCell ref="A38:A41"/>
    <mergeCell ref="F24:G24"/>
    <mergeCell ref="A16:C16"/>
    <mergeCell ref="D16:H16"/>
    <mergeCell ref="A21:C21"/>
    <mergeCell ref="B34:E34"/>
    <mergeCell ref="B32:E32"/>
    <mergeCell ref="H29:I29"/>
    <mergeCell ref="H31:I31"/>
    <mergeCell ref="J13:K13"/>
    <mergeCell ref="G13:I13"/>
    <mergeCell ref="D13:F13"/>
    <mergeCell ref="J51:K51"/>
    <mergeCell ref="H33:I33"/>
    <mergeCell ref="H34:I34"/>
    <mergeCell ref="F33:G33"/>
    <mergeCell ref="F34:G34"/>
    <mergeCell ref="B31:E31"/>
    <mergeCell ref="F28:G28"/>
    <mergeCell ref="F51:G51"/>
    <mergeCell ref="F30:G30"/>
    <mergeCell ref="J50:K50"/>
    <mergeCell ref="F31:G31"/>
    <mergeCell ref="F32:G32"/>
    <mergeCell ref="H51:I51"/>
    <mergeCell ref="F40:G40"/>
    <mergeCell ref="F50:G50"/>
    <mergeCell ref="H30:I30"/>
    <mergeCell ref="F45:G45"/>
    <mergeCell ref="J11:K11"/>
    <mergeCell ref="C10:F10"/>
    <mergeCell ref="G11:I11"/>
    <mergeCell ref="C11:F11"/>
    <mergeCell ref="J12:K12"/>
    <mergeCell ref="G12:I12"/>
    <mergeCell ref="C12:F12"/>
    <mergeCell ref="I1:K1"/>
    <mergeCell ref="H4:J4"/>
    <mergeCell ref="I5:K5"/>
    <mergeCell ref="I6:K6"/>
    <mergeCell ref="I7:K7"/>
    <mergeCell ref="J10:K10"/>
    <mergeCell ref="E87:H87"/>
    <mergeCell ref="A86:D89"/>
    <mergeCell ref="E92:H92"/>
    <mergeCell ref="A91:H91"/>
    <mergeCell ref="E86:H86"/>
    <mergeCell ref="E89:H89"/>
    <mergeCell ref="A92:D95"/>
    <mergeCell ref="I69:K69"/>
    <mergeCell ref="A69:H69"/>
    <mergeCell ref="B66:H66"/>
    <mergeCell ref="E63:H63"/>
    <mergeCell ref="E64:H64"/>
    <mergeCell ref="B68:H68"/>
    <mergeCell ref="I68:K68"/>
    <mergeCell ref="A61:D64"/>
    <mergeCell ref="H52:I52"/>
    <mergeCell ref="I62:K62"/>
    <mergeCell ref="A67:H67"/>
    <mergeCell ref="I63:K63"/>
    <mergeCell ref="I64:K64"/>
    <mergeCell ref="I65:K65"/>
    <mergeCell ref="I66:K66"/>
    <mergeCell ref="I67:K67"/>
    <mergeCell ref="I61:K61"/>
    <mergeCell ref="I60:K60"/>
    <mergeCell ref="A55:K55"/>
    <mergeCell ref="F56:K56"/>
    <mergeCell ref="F38:G38"/>
    <mergeCell ref="A42:A45"/>
    <mergeCell ref="F44:G44"/>
    <mergeCell ref="D50:E50"/>
    <mergeCell ref="D52:E52"/>
    <mergeCell ref="F52:G52"/>
    <mergeCell ref="D39:E39"/>
    <mergeCell ref="D44:E44"/>
    <mergeCell ref="D45:E45"/>
    <mergeCell ref="H48:I48"/>
    <mergeCell ref="I71:K71"/>
    <mergeCell ref="A70:K70"/>
    <mergeCell ref="B65:H65"/>
    <mergeCell ref="D56:E56"/>
    <mergeCell ref="E61:H61"/>
    <mergeCell ref="A71:D74"/>
    <mergeCell ref="F48:G48"/>
    <mergeCell ref="A60:H60"/>
    <mergeCell ref="E71:H71"/>
    <mergeCell ref="I76:K76"/>
    <mergeCell ref="I77:K77"/>
    <mergeCell ref="I78:K78"/>
    <mergeCell ref="I75:K75"/>
    <mergeCell ref="I72:K72"/>
    <mergeCell ref="A75:H75"/>
    <mergeCell ref="E72:H72"/>
    <mergeCell ref="A56:C56"/>
    <mergeCell ref="F41:G41"/>
    <mergeCell ref="F42:G42"/>
    <mergeCell ref="I80:K80"/>
    <mergeCell ref="I81:K81"/>
    <mergeCell ref="F37:G37"/>
    <mergeCell ref="F39:G39"/>
    <mergeCell ref="I73:K73"/>
    <mergeCell ref="I74:K74"/>
    <mergeCell ref="E62:H62"/>
    <mergeCell ref="A13:C13"/>
    <mergeCell ref="A11:B11"/>
    <mergeCell ref="A12:B12"/>
    <mergeCell ref="G10:I10"/>
    <mergeCell ref="D42:E42"/>
    <mergeCell ref="B29:E29"/>
    <mergeCell ref="B30:E30"/>
    <mergeCell ref="B33:E33"/>
    <mergeCell ref="D37:E37"/>
    <mergeCell ref="I22:J22"/>
    <mergeCell ref="I88:K88"/>
    <mergeCell ref="A85:K85"/>
    <mergeCell ref="E73:H73"/>
    <mergeCell ref="B80:H80"/>
    <mergeCell ref="E76:H76"/>
    <mergeCell ref="A84:H84"/>
    <mergeCell ref="B81:H81"/>
    <mergeCell ref="E74:H74"/>
    <mergeCell ref="E78:H78"/>
    <mergeCell ref="E79:H79"/>
    <mergeCell ref="I89:K89"/>
    <mergeCell ref="A23:E23"/>
    <mergeCell ref="D48:E48"/>
    <mergeCell ref="D49:E49"/>
    <mergeCell ref="F49:G49"/>
    <mergeCell ref="D51:E51"/>
    <mergeCell ref="D38:E38"/>
    <mergeCell ref="D40:E40"/>
    <mergeCell ref="J52:K52"/>
    <mergeCell ref="E77:H77"/>
    <mergeCell ref="A82:H82"/>
    <mergeCell ref="I83:K83"/>
    <mergeCell ref="I82:K82"/>
    <mergeCell ref="I79:K79"/>
    <mergeCell ref="A76:D79"/>
    <mergeCell ref="B83:H83"/>
    <mergeCell ref="I84:K84"/>
    <mergeCell ref="I86:K86"/>
    <mergeCell ref="I87:K87"/>
    <mergeCell ref="E95:H95"/>
    <mergeCell ref="I97:K97"/>
    <mergeCell ref="A102:K102"/>
    <mergeCell ref="E88:H88"/>
    <mergeCell ref="E93:H93"/>
    <mergeCell ref="E94:H94"/>
    <mergeCell ref="A101:H101"/>
    <mergeCell ref="B96:H96"/>
    <mergeCell ref="B97:H97"/>
    <mergeCell ref="B98:H98"/>
    <mergeCell ref="I107:K107"/>
    <mergeCell ref="I108:K108"/>
    <mergeCell ref="I98:K98"/>
    <mergeCell ref="I100:K100"/>
    <mergeCell ref="E104:H104"/>
    <mergeCell ref="E105:H105"/>
    <mergeCell ref="E106:H106"/>
    <mergeCell ref="A99:H99"/>
    <mergeCell ref="I99:K99"/>
    <mergeCell ref="E120:H120"/>
    <mergeCell ref="E121:H121"/>
    <mergeCell ref="E122:H122"/>
    <mergeCell ref="B116:H116"/>
    <mergeCell ref="A115:H115"/>
    <mergeCell ref="E109:H109"/>
    <mergeCell ref="A108:D111"/>
    <mergeCell ref="B113:H113"/>
    <mergeCell ref="B100:H100"/>
    <mergeCell ref="B114:H114"/>
    <mergeCell ref="A107:H107"/>
    <mergeCell ref="E108:H108"/>
    <mergeCell ref="E110:H110"/>
    <mergeCell ref="E111:H111"/>
    <mergeCell ref="B112:H112"/>
    <mergeCell ref="A103:D106"/>
    <mergeCell ref="E103:H103"/>
  </mergeCells>
  <conditionalFormatting sqref="I117:K117 I119:K122 I115:K115 I101:K101 I103:K106 I108:K111 I86:K89 I92:K95 I112:I117 I100:I101 I96:I98 I98:K99 I82:K82 I84:K84 I71:K74 I76:K79 I80:I84 I67:K67 I69:K69 I61:I69 G21 K4 I1 C22 A13:D13 K18 J16:J17 C49:C52 B42:B44 A29:A34 D56 I5 J10:J11 C10:C12 F18 D21:E21 F23:F24 G24 G13 E22 J62:K64 B38:B40 I24 J25 K21:K24 J13:J14 D14 D16 K15 G15 C15">
    <cfRule type="containsBlanks" priority="115" dxfId="26" stopIfTrue="1">
      <formula>LEN(TRIM(A1))=0</formula>
    </cfRule>
  </conditionalFormatting>
  <conditionalFormatting sqref="I117:K117 I119:K122 I115:K115 I101:K101 I103:K106 I108:K111 I86:K89 I92:K95 I112:I117 I100:I101 I96:I98 I98:K99 I82:K82 I84:K84 I71:K74 I76:K79 I80:I84 I67:K67 I69:K69 I61:I69 G21 K4 I1 C22 A13:D13 K18 J16:J17 C49:C52 B42:B44 A29:A34 D56 I5 J10:J11 C10:C12 F18 D21:E21 F23:F24 G24 G13 E22 J62:K64 B38:B40 I24 J25 K21:K24 J13:J14 D14 D16 K15 G15 C15">
    <cfRule type="notContainsBlanks" priority="116" dxfId="25" stopIfTrue="1">
      <formula>LEN(TRIM(A1))&gt;0</formula>
    </cfRule>
  </conditionalFormatting>
  <conditionalFormatting sqref="D56 A4:G7 I6:K7 B29:K34 C42:K44 C38:K40 C49:I52">
    <cfRule type="containsBlanks" priority="1" dxfId="26" stopIfTrue="1">
      <formula>LEN(TRIM(A4))=0</formula>
    </cfRule>
    <cfRule type="notContainsBlanks" priority="117" dxfId="25" stopIfTrue="1">
      <formula>LEN(TRIM(A4))&gt;0</formula>
    </cfRule>
  </conditionalFormatting>
  <conditionalFormatting sqref="A57">
    <cfRule type="expression" priority="80" dxfId="29" stopIfTrue="1">
      <formula>D56=""</formula>
    </cfRule>
    <cfRule type="expression" priority="81" dxfId="30" stopIfTrue="1">
      <formula>D56&gt;5</formula>
    </cfRule>
    <cfRule type="expression" priority="82" dxfId="31" stopIfTrue="1">
      <formula>D56&lt;=5</formula>
    </cfRule>
  </conditionalFormatting>
  <conditionalFormatting sqref="K29:K34">
    <cfRule type="cellIs" priority="62" dxfId="32" operator="lessThanOrEqual" stopIfTrue="1">
      <formula>$J$10</formula>
    </cfRule>
  </conditionalFormatting>
  <conditionalFormatting sqref="A102">
    <cfRule type="expression" priority="41" dxfId="33" stopIfTrue="1">
      <formula>B_tw1after=""</formula>
    </cfRule>
    <cfRule type="expression" priority="42" dxfId="34" stopIfTrue="1">
      <formula>ABS(B_tw1before-B_tw1after)&gt;0.2</formula>
    </cfRule>
    <cfRule type="expression" priority="44" dxfId="35" stopIfTrue="1">
      <formula>ABS(B_tw1before-B_tw1after)&lt;=0.2</formula>
    </cfRule>
  </conditionalFormatting>
  <conditionalFormatting sqref="A118">
    <cfRule type="expression" priority="39" dxfId="33" stopIfTrue="1">
      <formula>B_tw2after=""</formula>
    </cfRule>
    <cfRule type="expression" priority="40" dxfId="34" stopIfTrue="1">
      <formula>ABS(B_tw2before-B_tw2after)&gt;0.2</formula>
    </cfRule>
    <cfRule type="expression" priority="43" dxfId="35" stopIfTrue="1">
      <formula>ABS(B_tw2before-B_tw2after)&lt;=0.2</formula>
    </cfRule>
  </conditionalFormatting>
  <conditionalFormatting sqref="A85">
    <cfRule type="expression" priority="45" dxfId="33" stopIfTrue="1">
      <formula>A_tw2after=""</formula>
    </cfRule>
    <cfRule type="expression" priority="111" dxfId="36" stopIfTrue="1">
      <formula>ABS(A_tw2before-A_tw2after)&gt;0.2</formula>
    </cfRule>
    <cfRule type="expression" priority="112" dxfId="37" stopIfTrue="1">
      <formula>ABS(A_tw2before-A_tw2after)&lt;=0.2</formula>
    </cfRule>
  </conditionalFormatting>
  <conditionalFormatting sqref="A70">
    <cfRule type="expression" priority="46" dxfId="33" stopIfTrue="1">
      <formula>A_tw1after=""</formula>
    </cfRule>
    <cfRule type="expression" priority="113" dxfId="36" stopIfTrue="1">
      <formula>ABS(A_tw1before-A_tw1after)&gt;0.2</formula>
    </cfRule>
    <cfRule type="expression" priority="114" dxfId="37" stopIfTrue="1">
      <formula>ABS(A_tw1before-A_tw1after)&lt;=0.2</formula>
    </cfRule>
  </conditionalFormatting>
  <conditionalFormatting sqref="A75:H75 A60:H60">
    <cfRule type="expression" priority="27" dxfId="30" stopIfTrue="1">
      <formula>option="Option B"</formula>
    </cfRule>
  </conditionalFormatting>
  <conditionalFormatting sqref="A107:H107 A91:H91">
    <cfRule type="expression" priority="26" dxfId="30" stopIfTrue="1">
      <formula>option="Option A"</formula>
    </cfRule>
  </conditionalFormatting>
  <dataValidations count="11">
    <dataValidation type="list" allowBlank="1" showInputMessage="1" showErrorMessage="1" promptTitle="Measurement Option" prompt="Pick from list" sqref="J25">
      <formula1>"Option A,Option B"</formula1>
    </dataValidation>
    <dataValidation type="list" allowBlank="1" showInputMessage="1" showErrorMessage="1" promptTitle="Type of Calibration" prompt="Pick from list" sqref="J17">
      <formula1>"To Deliver,To Contain"</formula1>
    </dataValidation>
    <dataValidation type="list" allowBlank="1" showInputMessage="1" showErrorMessage="1" promptTitle="Artifact Specification" prompt="Pick from list. For User Specified Tolerences enter the tolerence in the Tolerance Vlookup Table found in the Tables &amp; Lists Worksheet." sqref="D14">
      <formula1>Spec_List</formula1>
    </dataValidation>
    <dataValidation type="list" allowBlank="1" showInputMessage="1" showErrorMessage="1" promptTitle="Reference Temperature Unit" prompt="Pick from list" sqref="G13">
      <formula1>"Reference Temperature (ºF),Reference Temperature (ºC)"</formula1>
    </dataValidation>
    <dataValidation type="list" allowBlank="1" showInputMessage="1" showErrorMessage="1" promptTitle="Nominal Volume Unit" prompt="Pick from list" sqref="A13:C13">
      <formula1>Nom_Val_List</formula1>
    </dataValidation>
    <dataValidation type="list" allowBlank="1" showInputMessage="1" showErrorMessage="1" promptTitle="Type of Calibration" prompt="Pick from list" sqref="I19:K19">
      <formula1>TypeCal_List</formula1>
    </dataValidation>
    <dataValidation type="list" allowBlank="1" showInputMessage="1" showErrorMessage="1" promptTitle="Yes or No" prompt="Pick from list" sqref="F18">
      <formula1>"Yes,No"</formula1>
    </dataValidation>
    <dataValidation type="list" allowBlank="1" showInputMessage="1" showErrorMessage="1" promptTitle="Material" prompt="Pick from list" sqref="C12">
      <formula1>Material_List</formula1>
    </dataValidation>
    <dataValidation type="list" allowBlank="1" showInputMessage="1" showErrorMessage="1" promptTitle="Artifact Description" prompt="Pick from list" sqref="C10">
      <formula1>Description_list</formula1>
    </dataValidation>
    <dataValidation allowBlank="1" showInputMessage="1" showErrorMessage="1" prompt="M1 - Mettler CB1000&#10;M3 - Mettler AT201&#10;M5 - Mettler XP2003KL&#10;S1 - Sartorius CC50000&#10;S4 - Sartorius CC30002&#10;S5 - Sartorius CC5001" sqref="C22"/>
    <dataValidation type="list" allowBlank="1" showInputMessage="1" showErrorMessage="1" sqref="K22">
      <formula1>"g,mg"</formula1>
    </dataValidation>
  </dataValidations>
  <printOptions horizontalCentered="1"/>
  <pageMargins left="0.5" right="0.5" top="1.25" bottom="0.75" header="0.75" footer="0.5"/>
  <pageSetup fitToHeight="3" horizontalDpi="300" verticalDpi="300" orientation="portrait" scale="79" r:id="rId1"/>
  <headerFooter alignWithMargins="0">
    <oddHeader>&amp;L&amp;"Trebuchet MS,Regular"Gravimetric Calibration of Volumetric Ware
Using an Electronic Balance&amp;R&amp;"Trebuchet MS,Regular"WAMRF-005, Rev. 30, 12/10/2014</oddHeader>
    <oddFooter>&amp;L&amp;"Trebuchet MS,Regular"&amp;F&amp;R&amp;"Trebuchet MS,Regular"&amp;A Worksheet Page &amp;P of &amp;N</oddFooter>
  </headerFooter>
  <rowBreaks count="3" manualBreakCount="3">
    <brk id="26" max="10" man="1"/>
    <brk id="58" max="10" man="1"/>
    <brk id="90" max="10" man="1"/>
  </rowBreaks>
</worksheet>
</file>

<file path=xl/worksheets/sheet8.xml><?xml version="1.0" encoding="utf-8"?>
<worksheet xmlns="http://schemas.openxmlformats.org/spreadsheetml/2006/main" xmlns:r="http://schemas.openxmlformats.org/officeDocument/2006/relationships">
  <sheetPr>
    <tabColor indexed="58"/>
    <pageSetUpPr fitToPage="1"/>
  </sheetPr>
  <dimension ref="A1:K6"/>
  <sheetViews>
    <sheetView showGridLines="0" zoomScalePageLayoutView="0" workbookViewId="0" topLeftCell="A1">
      <selection activeCell="A6" sqref="A6:K6"/>
    </sheetView>
  </sheetViews>
  <sheetFormatPr defaultColWidth="0" defaultRowHeight="15.75" zeroHeight="1"/>
  <cols>
    <col min="1" max="1" width="8.88671875" style="129" customWidth="1"/>
    <col min="2" max="2" width="11.88671875" style="129" customWidth="1"/>
    <col min="3" max="3" width="11.88671875" style="130" customWidth="1"/>
    <col min="4" max="5" width="12.77734375" style="129" customWidth="1"/>
    <col min="6" max="7" width="8.88671875" style="129" customWidth="1"/>
    <col min="8" max="11" width="7.77734375" style="129" customWidth="1"/>
    <col min="12" max="12" width="1.88671875" style="129" customWidth="1"/>
    <col min="13" max="16384" width="0" style="129" hidden="1" customWidth="1"/>
  </cols>
  <sheetData>
    <row r="1" spans="1:11" ht="18.75" thickBot="1">
      <c r="A1" s="327" t="s">
        <v>590</v>
      </c>
      <c r="B1" s="327"/>
      <c r="C1" s="327"/>
      <c r="D1" s="327"/>
      <c r="E1" s="327"/>
      <c r="F1" s="327"/>
      <c r="G1" s="327"/>
      <c r="H1" s="327"/>
      <c r="I1" s="327"/>
      <c r="J1" s="327"/>
      <c r="K1" s="30">
        <f>IF(RptNo="","","Report Number: "&amp;RptNo)</f>
      </c>
    </row>
    <row r="2" spans="1:11" ht="15">
      <c r="A2" s="328" t="s">
        <v>591</v>
      </c>
      <c r="B2" s="339"/>
      <c r="C2" s="328"/>
      <c r="D2" s="328"/>
      <c r="E2" s="328"/>
      <c r="F2" s="328"/>
      <c r="G2" s="328"/>
      <c r="H2" s="328"/>
      <c r="I2" s="328"/>
      <c r="J2" s="328"/>
      <c r="K2" s="328"/>
    </row>
    <row r="3" ht="14.25"/>
    <row r="4" spans="1:11" ht="18.75" thickBot="1">
      <c r="A4" s="338" t="s">
        <v>592</v>
      </c>
      <c r="B4" s="338"/>
      <c r="C4" s="338"/>
      <c r="D4" s="327"/>
      <c r="E4" s="327"/>
      <c r="F4" s="327"/>
      <c r="G4" s="327"/>
      <c r="H4" s="327"/>
      <c r="I4" s="327"/>
      <c r="J4" s="327"/>
      <c r="K4" s="327"/>
    </row>
    <row r="5" spans="1:11" ht="66">
      <c r="A5" s="337" t="s">
        <v>593</v>
      </c>
      <c r="B5" s="336" t="s">
        <v>195</v>
      </c>
      <c r="C5" s="336" t="s">
        <v>196</v>
      </c>
      <c r="D5" s="336" t="str">
        <f>IF(RefTempUnit="Reference Temerature (ºF)","Volume (Trial 1) @ "&amp;RefTemp&amp;" ºF (mL)","Volume (Trial 1) @ "&amp;RefTemp&amp;" ºC (mL)")</f>
        <v>Volume (Trial 1) @  ºC (mL)</v>
      </c>
      <c r="E5" s="336" t="str">
        <f>IF(RefTempUnit="Reference Temerature (ºF)","Volume (Trial 2) @ "&amp;RefTemp&amp;" ºF (mL)","Volume (Trial 2) @ "&amp;RefTemp&amp;" ºC (mL)")</f>
        <v>Volume (Trial 2) @  ºC (mL)</v>
      </c>
      <c r="F5" s="336" t="s">
        <v>197</v>
      </c>
      <c r="G5" s="336" t="s">
        <v>198</v>
      </c>
      <c r="H5" s="336" t="s">
        <v>199</v>
      </c>
      <c r="I5" s="336" t="s">
        <v>200</v>
      </c>
      <c r="J5" s="336" t="s">
        <v>201</v>
      </c>
      <c r="K5" s="335" t="s">
        <v>202</v>
      </c>
    </row>
    <row r="6" spans="1:11" ht="14.25">
      <c r="A6" s="330">
        <f>IF(Tech_Int="","",Tech_Int)</f>
      </c>
      <c r="B6" s="334">
        <f>IF(Cal_Date="","",Cal_Date)</f>
      </c>
      <c r="C6" s="331">
        <f>IF(RptNo="","",RptNo)</f>
      </c>
      <c r="D6" s="332">
        <f>Calculations!C29</f>
      </c>
      <c r="E6" s="332">
        <f>Calculations!C30</f>
      </c>
      <c r="F6" s="332">
        <f>'CIPM Air Density'!D6</f>
      </c>
      <c r="G6" s="332">
        <f>'CIPM Air Density'!D12</f>
      </c>
      <c r="H6" s="332">
        <f>'CIPM Air Density'!D5</f>
      </c>
      <c r="I6" s="332">
        <f>'CIPM Air Density'!D11</f>
      </c>
      <c r="J6" s="332">
        <f>IF(ISERROR(tw1),"",tw1)</f>
      </c>
      <c r="K6" s="333">
        <f>IF(ISERROR(tw2),"",tw2)</f>
      </c>
    </row>
    <row r="7" ht="14.25"/>
  </sheetData>
  <sheetProtection password="83AF" sheet="1" objects="1" scenarios="1"/>
  <printOptions/>
  <pageMargins left="0.75" right="0.75" top="1" bottom="1" header="0.5" footer="0.5"/>
  <pageSetup fitToHeight="1" fitToWidth="1" horizontalDpi="1200" verticalDpi="1200" orientation="landscape" r:id="rId1"/>
  <headerFooter alignWithMargins="0">
    <oddHeader>&amp;L&amp;"Trebuchet MS,Regular"Gravimetric Calibration of Volumetric Ware
Using an Electronic Balance&amp;R&amp;"Trebuchet MS,Regular"WAMRF-005, Rev. 30, 12/10/2014</oddHeader>
    <oddFooter>&amp;L&amp;"Trebuchet MS,Regular"&amp;F&amp;R&amp;"Trebuchet MS,Regular"&amp;A Worksheet Page &amp;P of &amp;N</oddFooter>
  </headerFooter>
</worksheet>
</file>

<file path=xl/worksheets/sheet9.xml><?xml version="1.0" encoding="utf-8"?>
<worksheet xmlns="http://schemas.openxmlformats.org/spreadsheetml/2006/main" xmlns:r="http://schemas.openxmlformats.org/officeDocument/2006/relationships">
  <sheetPr>
    <tabColor indexed="17"/>
  </sheetPr>
  <dimension ref="A1:I54"/>
  <sheetViews>
    <sheetView showGridLines="0" zoomScalePageLayoutView="0" workbookViewId="0" topLeftCell="A1">
      <selection activeCell="A1" sqref="A1"/>
    </sheetView>
  </sheetViews>
  <sheetFormatPr defaultColWidth="0" defaultRowHeight="15.75" zeroHeight="1"/>
  <cols>
    <col min="1" max="8" width="10.77734375" style="1" customWidth="1"/>
    <col min="9" max="9" width="1.77734375" style="1" customWidth="1"/>
    <col min="10" max="10" width="15.77734375" style="1" hidden="1" customWidth="1"/>
    <col min="11" max="11" width="14.5546875" style="1" hidden="1" customWidth="1"/>
    <col min="12" max="16384" width="0" style="1" hidden="1" customWidth="1"/>
  </cols>
  <sheetData>
    <row r="1" spans="1:8" ht="19.5" thickBot="1">
      <c r="A1" s="29" t="s">
        <v>22</v>
      </c>
      <c r="B1" s="7"/>
      <c r="C1" s="7"/>
      <c r="D1" s="7"/>
      <c r="E1" s="7"/>
      <c r="F1" s="7"/>
      <c r="G1" s="7"/>
      <c r="H1" s="30">
        <f>IF(RptNo="","","Report Number: "&amp;RptNo)</f>
      </c>
    </row>
    <row r="2" ht="12" customHeight="1"/>
    <row r="3" spans="1:8" ht="19.5" customHeight="1" thickBot="1">
      <c r="A3" s="9" t="s">
        <v>104</v>
      </c>
      <c r="B3" s="9"/>
      <c r="C3" s="9"/>
      <c r="D3" s="9"/>
      <c r="E3" s="9"/>
      <c r="F3" s="9"/>
      <c r="G3" s="9"/>
      <c r="H3" s="9"/>
    </row>
    <row r="4" spans="1:8" ht="35.25" customHeight="1">
      <c r="A4" s="649" t="s">
        <v>383</v>
      </c>
      <c r="B4" s="649"/>
      <c r="C4" s="649"/>
      <c r="D4" s="649"/>
      <c r="E4" s="649"/>
      <c r="F4" s="649"/>
      <c r="G4" s="649"/>
      <c r="H4" s="649"/>
    </row>
    <row r="5" spans="1:8" ht="19.5" customHeight="1">
      <c r="A5" s="10"/>
      <c r="B5" s="11" t="s">
        <v>59</v>
      </c>
      <c r="C5" s="650">
        <f>IF(ISERROR(CIPM_Pa1/1000),"",CIPM_Pa1/1000)</f>
      </c>
      <c r="D5" s="650"/>
      <c r="E5" s="10" t="s">
        <v>63</v>
      </c>
      <c r="F5" s="653" t="s">
        <v>457</v>
      </c>
      <c r="G5" s="653"/>
      <c r="H5" s="653"/>
    </row>
    <row r="6" spans="1:8" ht="19.5" customHeight="1">
      <c r="A6" s="10"/>
      <c r="B6" s="11" t="s">
        <v>60</v>
      </c>
      <c r="C6" s="650">
        <f>IF(ISERROR(CIPM_Pa2/1000),"",CIPM_Pa2/1000)</f>
      </c>
      <c r="D6" s="650"/>
      <c r="E6" s="10" t="s">
        <v>63</v>
      </c>
      <c r="F6" s="653"/>
      <c r="G6" s="653"/>
      <c r="H6" s="653"/>
    </row>
    <row r="7" ht="12" customHeight="1"/>
    <row r="8" spans="1:8" ht="19.5" customHeight="1" thickBot="1">
      <c r="A8" s="9" t="s">
        <v>105</v>
      </c>
      <c r="B8" s="9"/>
      <c r="C8" s="9"/>
      <c r="D8" s="9"/>
      <c r="E8" s="9"/>
      <c r="F8" s="9"/>
      <c r="G8" s="9"/>
      <c r="H8" s="9"/>
    </row>
    <row r="9" spans="1:8" ht="35.25" customHeight="1">
      <c r="A9" s="649" t="s">
        <v>382</v>
      </c>
      <c r="B9" s="649"/>
      <c r="C9" s="649"/>
      <c r="D9" s="649"/>
      <c r="E9" s="649"/>
      <c r="F9" s="649"/>
      <c r="G9" s="649"/>
      <c r="H9" s="649"/>
    </row>
    <row r="10" spans="1:8" ht="19.5" customHeight="1">
      <c r="A10" s="146"/>
      <c r="B10" s="17" t="s">
        <v>223</v>
      </c>
      <c r="C10" s="650">
        <f>IF(option="","",IF(option="option a",AVERAGE(A_tw1before+t_water_corr,A_tw1after+t_water_corr),AVERAGE(B_tw1before+t_water_corr,B_tw1after+t_water_corr)))</f>
      </c>
      <c r="D10" s="650"/>
      <c r="E10" s="10" t="s">
        <v>225</v>
      </c>
      <c r="F10" s="661" t="s">
        <v>476</v>
      </c>
      <c r="G10" s="661"/>
      <c r="H10" s="661"/>
    </row>
    <row r="11" spans="1:8" ht="19.5" customHeight="1">
      <c r="A11" s="146"/>
      <c r="B11" s="17" t="s">
        <v>224</v>
      </c>
      <c r="C11" s="650">
        <f>IF(option="","",IF(option="option a",AVERAGE(A_tw2before+t_water_corr,A_tw2after+t_water_corr),AVERAGE(B_tw2before+t_water_corr,B_tw2after+t_water_corr)))</f>
      </c>
      <c r="D11" s="650"/>
      <c r="E11" s="10" t="s">
        <v>225</v>
      </c>
      <c r="F11" s="661"/>
      <c r="G11" s="661"/>
      <c r="H11" s="661"/>
    </row>
    <row r="12" spans="1:8" ht="19.5" customHeight="1">
      <c r="A12" s="13"/>
      <c r="B12" s="11" t="s">
        <v>61</v>
      </c>
      <c r="C12" s="650">
        <f>IF(option="","",ROUND((999.97495*(1-((tw1-3.983035)^2*(tw1+301.797))/(522528.9*(tw1+69.34881))))/1000+(-4.612+0.106*tw1)/1000000,8))</f>
      </c>
      <c r="D12" s="650"/>
      <c r="E12" s="10" t="s">
        <v>63</v>
      </c>
      <c r="F12" s="661"/>
      <c r="G12" s="661"/>
      <c r="H12" s="661"/>
    </row>
    <row r="13" spans="1:8" ht="19.5" customHeight="1">
      <c r="A13" s="13"/>
      <c r="B13" s="11" t="s">
        <v>62</v>
      </c>
      <c r="C13" s="650">
        <f>IF(option="","",ROUND((999.97495*(1-((tw2-3.983035)^2*(tw2+301.797))/(522528.9*(tw2+69.34881))))/1000+(-4.612+0.106*tw2)/1000000,8))</f>
      </c>
      <c r="D13" s="650"/>
      <c r="E13" s="10" t="s">
        <v>63</v>
      </c>
      <c r="F13" s="661"/>
      <c r="G13" s="661"/>
      <c r="H13" s="661"/>
    </row>
    <row r="14" ht="12" customHeight="1"/>
    <row r="15" spans="1:8" ht="19.5" customHeight="1" thickBot="1">
      <c r="A15" s="9" t="s">
        <v>0</v>
      </c>
      <c r="B15" s="9"/>
      <c r="C15" s="9"/>
      <c r="D15" s="9"/>
      <c r="E15" s="9"/>
      <c r="F15" s="9"/>
      <c r="G15" s="9"/>
      <c r="H15" s="9"/>
    </row>
    <row r="16" spans="1:8" ht="19.5" customHeight="1">
      <c r="A16" s="14"/>
      <c r="B16" s="17" t="s">
        <v>661</v>
      </c>
      <c r="C16" s="650">
        <f>IF(option="","",Ms_filled_nom+Cs_filled/1000)</f>
      </c>
      <c r="D16" s="650"/>
      <c r="E16" s="10" t="s">
        <v>1</v>
      </c>
      <c r="F16" s="10" t="s">
        <v>29</v>
      </c>
      <c r="G16" s="12"/>
      <c r="H16" s="12"/>
    </row>
    <row r="17" spans="1:8" ht="19.5" customHeight="1">
      <c r="A17" s="14"/>
      <c r="B17" s="11">
        <f>IF(OR(option="",option="Option A"),"","Ms (empty/drained) =")</f>
      </c>
      <c r="C17" s="650">
        <f>IF(OR(option="",option="Option A"),"",Ms_empty_nom+Cs_empty/1000)</f>
      </c>
      <c r="D17" s="650"/>
      <c r="E17" s="10">
        <f>IF(OR(option="",option="Option A"),"","g")</f>
      </c>
      <c r="F17" s="10">
        <f>IF(OR(option="",option="Option A"),"","true mass of standard(s)")</f>
      </c>
      <c r="G17" s="12"/>
      <c r="H17" s="12"/>
    </row>
    <row r="18" ht="12" customHeight="1"/>
    <row r="19" spans="1:8" s="2" customFormat="1" ht="19.5" customHeight="1" thickBot="1">
      <c r="A19" s="299" t="s">
        <v>546</v>
      </c>
      <c r="B19" s="9"/>
      <c r="C19" s="9"/>
      <c r="D19" s="9"/>
      <c r="E19" s="9"/>
      <c r="F19" s="9"/>
      <c r="G19" s="9"/>
      <c r="H19" s="9"/>
    </row>
    <row r="20" spans="1:8" s="2" customFormat="1" ht="19.5" customHeight="1">
      <c r="A20" s="652" t="s">
        <v>547</v>
      </c>
      <c r="B20" s="652"/>
      <c r="C20" s="652"/>
      <c r="D20" s="662"/>
      <c r="E20" s="651" t="s">
        <v>548</v>
      </c>
      <c r="F20" s="652"/>
      <c r="G20" s="652"/>
      <c r="H20" s="652"/>
    </row>
    <row r="21" spans="1:8" ht="19.5" customHeight="1">
      <c r="A21" s="11" t="str">
        <f>IF(option="","",IF(option="option a","Option A","Option B"))&amp;" O1 ="</f>
        <v> O1 =</v>
      </c>
      <c r="B21" s="650">
        <f>IF(option="","",IF(AND(BalUnits="mg",option="Option A"),'Data Entry'!I65/1000,IF(AND(BalUnits="mg",option="Option B"),'Data Entry'!I96/1000,IF(AND(BalUnits="g",option="Option A"),'Data Entry'!I65,'Data Entry'!I96))))</f>
      </c>
      <c r="C21" s="650"/>
      <c r="D21" s="10" t="s">
        <v>1</v>
      </c>
      <c r="E21" s="300" t="str">
        <f>IF(option="","",IF(option="option a","Option A","Option B"))&amp;" O1 ="</f>
        <v> O1 =</v>
      </c>
      <c r="F21" s="650">
        <f>IF(option="","",IF(AND(BalUnits="mg",option="option a"),'Data Entry'!I80/1000,IF(AND(BalUnits="mg",option="option b"),'Data Entry'!I112/1000,IF(AND(BalUnits="g",option="option a"),'Data Entry'!I80,'Data Entry'!I112))))</f>
      </c>
      <c r="G21" s="650"/>
      <c r="H21" s="10" t="s">
        <v>1</v>
      </c>
    </row>
    <row r="22" spans="1:8" s="2" customFormat="1" ht="19.5" customHeight="1">
      <c r="A22" s="11" t="str">
        <f>IF(option="","",IF(option="option a","Option A","Option B"))&amp;" O2 ="</f>
        <v> O2 =</v>
      </c>
      <c r="B22" s="650">
        <f>IF(option="","",IF(AND(BalUnits="mg",option="option a"),'Data Entry'!I66/1000,IF(AND(BalUnits="mg",option="option b"),'Data Entry'!I97/1000,IF(AND(BalUnits="g",option="option a"),'Data Entry'!I66,'Data Entry'!I97))))</f>
      </c>
      <c r="C22" s="650"/>
      <c r="D22" s="10" t="s">
        <v>1</v>
      </c>
      <c r="E22" s="300" t="str">
        <f>IF(option="","",IF(option="option a","Option A","Option B"))&amp;" O2 ="</f>
        <v> O2 =</v>
      </c>
      <c r="F22" s="650">
        <f>IF(option="","",IF(AND(BalUnits="mg",option="option a"),'Data Entry'!I81/1000,IF(AND(BalUnits="mg",option="option b"),'Data Entry'!I113/1000,IF(AND(BalUnits="g",option="option a"),'Data Entry'!I81,'Data Entry'!I113))))</f>
      </c>
      <c r="G22" s="650"/>
      <c r="H22" s="10" t="s">
        <v>1</v>
      </c>
    </row>
    <row r="23" spans="1:8" s="2" customFormat="1" ht="19.5" customHeight="1">
      <c r="A23" s="11" t="str">
        <f>IF(option="","",IF(option="option a","Option A","Option B"))&amp;" O3 ="</f>
        <v> O3 =</v>
      </c>
      <c r="B23" s="650">
        <f>IF(option="","",IF(AND(BalUnits="mg",option="Option A"),'Data Entry'!I68/1000,IF(AND(BalUnits="mg",option="Option B"),'Data Entry'!I98/1000,IF(AND(BalUnits="g",option="Option A"),'Data Entry'!I68,'Data Entry'!I98))))</f>
      </c>
      <c r="C23" s="650"/>
      <c r="D23" s="10" t="s">
        <v>1</v>
      </c>
      <c r="E23" s="300" t="str">
        <f>IF(option="","",IF(option="option a","Option A","Option B"))&amp;" O3 ="</f>
        <v> O3 =</v>
      </c>
      <c r="F23" s="650">
        <f>IF(option="","",IF(AND(BalUnits="mg",option="option a"),'Data Entry'!I83/1000,IF(AND(BalUnits="mg",option="option b"),'Data Entry'!I114/1000,IF(AND(BalUnits="g",option="option a"),'Data Entry'!I83,'Data Entry'!I114))))</f>
      </c>
      <c r="G23" s="650"/>
      <c r="H23" s="10" t="s">
        <v>1</v>
      </c>
    </row>
    <row r="24" spans="1:8" s="2" customFormat="1" ht="19.5" customHeight="1">
      <c r="A24" s="11">
        <f>IF(OR(option="",option="Option A"),"","Option B"&amp;" O4 =")</f>
      </c>
      <c r="B24" s="650">
        <f>IF(OR(option="",option="Option A"),"",IF(AND(BalUnits="mg",option="Option B"),'Data Entry'!I100/1000,'Data Entry'!I100))</f>
      </c>
      <c r="C24" s="650"/>
      <c r="D24" s="10">
        <f>IF(OR(option="",option="Option A"),"","g")</f>
      </c>
      <c r="E24" s="300">
        <f>IF(OR(option="",option="Option A"),"","Option B"&amp;" O4 =")</f>
      </c>
      <c r="F24" s="650">
        <f>IF(OR(option="",option="Option A"),"",IF(AND(BalUnits="mg",option="Option B"),'Data Entry'!I116/1000,'Data Entry'!I116))</f>
      </c>
      <c r="G24" s="650"/>
      <c r="H24" s="10">
        <f>IF(OR(option="",option="Option A"),"","g")</f>
      </c>
    </row>
    <row r="25" ht="12" customHeight="1"/>
    <row r="26" spans="1:8" s="2" customFormat="1" ht="19.5" customHeight="1" thickBot="1">
      <c r="A26" s="9" t="s">
        <v>106</v>
      </c>
      <c r="B26" s="9"/>
      <c r="C26" s="9"/>
      <c r="D26" s="9"/>
      <c r="E26" s="9"/>
      <c r="F26" s="9"/>
      <c r="G26" s="9"/>
      <c r="H26" s="9"/>
    </row>
    <row r="27" spans="1:8" ht="19.5" customHeight="1">
      <c r="A27" s="40"/>
      <c r="B27" s="41" t="s">
        <v>57</v>
      </c>
      <c r="C27" s="663">
        <f>IF(option="","",IF(option="Option A",((Obs3_Run1-Obs2_Run1)*(Ms_filled*(1-Pa1/P_Ms_filled)/Obs1_Run1))*(1/(Pw1-Pa1)),(((Obs4_Run1/Obs3_Run1)*(Ms_filled*(1-Pa1/P_Ms_filled)))-((Obs2_Run1/Obs1_Run1)*(Ms_empty*(1-Pa1/P_Ms_empty))))*(1/(Pw1-Pa1))))</f>
      </c>
      <c r="D27" s="663"/>
      <c r="E27" s="40" t="s">
        <v>19</v>
      </c>
      <c r="F27" s="655" t="s">
        <v>107</v>
      </c>
      <c r="G27" s="655"/>
      <c r="H27" s="655"/>
    </row>
    <row r="28" spans="1:8" ht="19.5" customHeight="1">
      <c r="A28" s="42"/>
      <c r="B28" s="43" t="s">
        <v>58</v>
      </c>
      <c r="C28" s="664">
        <f>IF(option="","",IF(option="Option A",((Obs3_Run2-Obs2_Run2)*(Ms_filled*(1-Pa2/P_Ms_filled)/Obs1_Run2))*(1/(Pw2-Pa2)),(((Obs4_Run2/Obs3_Run2)*(Ms_filled*(1-Pa2/P_Ms_filled)))-((Obs2_Run2/Obs1_Run2)*(Ms_empty*(1-Pa2/P_Ms_empty))))*(1/(Pw2-Pa2))))</f>
      </c>
      <c r="D28" s="664"/>
      <c r="E28" s="42" t="s">
        <v>19</v>
      </c>
      <c r="F28" s="656"/>
      <c r="G28" s="656"/>
      <c r="H28" s="656"/>
    </row>
    <row r="29" spans="1:8" ht="19.5" customHeight="1">
      <c r="A29" s="44"/>
      <c r="B29" s="45" t="str">
        <f>IF(RefTempUnit="Reference Temperature (ºF)","Trial 1 V @ "&amp;RefTemp&amp;" "&amp;CHAR(186)&amp;"F =","Trial 1 V @ "&amp;RefTemp&amp;" "&amp;CHAR(186)&amp;"C =")</f>
        <v>Trial 1 V @  ºC =</v>
      </c>
      <c r="C29" s="658">
        <f>IF(option="","",IF(RefTempUnit="Reference Temperature (ºF)",C27*(1-a*(tw1-((RefTemp-32)/1.8))),C27*(1-a*(tw1-RefTemp))))</f>
      </c>
      <c r="D29" s="658"/>
      <c r="E29" s="44" t="s">
        <v>19</v>
      </c>
      <c r="F29" s="657" t="s">
        <v>108</v>
      </c>
      <c r="G29" s="657"/>
      <c r="H29" s="657"/>
    </row>
    <row r="30" spans="1:8" ht="19.5" customHeight="1">
      <c r="A30" s="42"/>
      <c r="B30" s="46" t="str">
        <f>IF(RefTempUnit="Reference Temperature (ºF)","Trial 2 V @ "&amp;RefTemp&amp;" "&amp;CHAR(186)&amp;"F =","Trial 2 V @ "&amp;RefTemp&amp;" "&amp;CHAR(186)&amp;"C =")</f>
        <v>Trial 2 V @  ºC =</v>
      </c>
      <c r="C30" s="664">
        <f>IF(option="","",IF(RefTempUnit="Reference Temperature (ºF)",C28*(1-a*(tw2-((RefTemp-32)/1.8))),C28*(1-a*(tw2-RefTemp))))</f>
      </c>
      <c r="D30" s="664"/>
      <c r="E30" s="42" t="s">
        <v>19</v>
      </c>
      <c r="F30" s="656"/>
      <c r="G30" s="656"/>
      <c r="H30" s="656"/>
    </row>
    <row r="31" spans="1:8" ht="19.5" customHeight="1">
      <c r="A31" s="13"/>
      <c r="B31" s="16" t="str">
        <f>IF(RefTempUnit="Reference Temperature (ºF)","V @ "&amp;RefTemp&amp;" "&amp;CHAR(186)&amp;"F =","V @ "&amp;RefTemp&amp;" "&amp;CHAR(186)&amp;"C =")</f>
        <v>V @  ºC =</v>
      </c>
      <c r="C31" s="650">
        <f>IF(ISERROR(AVERAGE(C29,C30)),"",AVERAGE(C29,C30))</f>
      </c>
      <c r="D31" s="650"/>
      <c r="E31" s="13" t="s">
        <v>19</v>
      </c>
      <c r="F31" s="39" t="s">
        <v>109</v>
      </c>
      <c r="G31" s="12"/>
      <c r="H31" s="12"/>
    </row>
    <row r="32" spans="1:8" ht="12" customHeight="1">
      <c r="A32" s="13"/>
      <c r="B32" s="16"/>
      <c r="C32" s="36"/>
      <c r="D32" s="36"/>
      <c r="E32" s="13"/>
      <c r="F32" s="39"/>
      <c r="G32" s="12"/>
      <c r="H32" s="12"/>
    </row>
    <row r="33" spans="1:8" ht="19.5" customHeight="1" thickBot="1">
      <c r="A33" s="9" t="s">
        <v>128</v>
      </c>
      <c r="B33" s="9"/>
      <c r="C33" s="9"/>
      <c r="D33" s="9"/>
      <c r="E33" s="9"/>
      <c r="F33" s="9"/>
      <c r="G33" s="9"/>
      <c r="H33" s="9"/>
    </row>
    <row r="34" spans="1:8" ht="35.25" customHeight="1">
      <c r="A34" s="649" t="s">
        <v>392</v>
      </c>
      <c r="B34" s="649"/>
      <c r="C34" s="649"/>
      <c r="D34" s="649"/>
      <c r="E34" s="649"/>
      <c r="F34" s="649"/>
      <c r="G34" s="649"/>
      <c r="H34" s="649"/>
    </row>
    <row r="35" spans="2:8" ht="24" customHeight="1">
      <c r="B35" s="16" t="str">
        <f>IF(Spec="NIST HB 105-3","0.05 % of Measured Volume =","1/3 of Tolerance =")</f>
        <v>1/3 of Tolerance =</v>
      </c>
      <c r="C35" s="650">
        <f>IF(Spec="","",IF(Spec="Not Applicable","N/A",IF(Spec="NIST HB 105-3",0.05%*C31,Tol/3)))</f>
      </c>
      <c r="D35" s="650"/>
      <c r="E35" s="13" t="s">
        <v>19</v>
      </c>
      <c r="F35" s="659">
        <f>IF(OR(C35="",C35="N/A"),"",IF(C36&lt;C35,"Uncertainty Meets Criteria.","Uncertainty Fails Criteria, Re-evaluate or Use Different Calibration Method."))</f>
      </c>
      <c r="G35" s="659"/>
      <c r="H35" s="659"/>
    </row>
    <row r="36" spans="1:8" ht="24" customHeight="1">
      <c r="A36" s="13"/>
      <c r="B36" s="16" t="s">
        <v>129</v>
      </c>
      <c r="C36" s="650">
        <f>IF(C31="","",IF(Spec="Not Applicable","N/A",ReportedUnc))</f>
      </c>
      <c r="D36" s="650"/>
      <c r="E36" s="13" t="s">
        <v>19</v>
      </c>
      <c r="F36" s="659"/>
      <c r="G36" s="659"/>
      <c r="H36" s="659"/>
    </row>
    <row r="37" spans="1:8" ht="12" customHeight="1">
      <c r="A37" s="13"/>
      <c r="B37" s="16"/>
      <c r="C37" s="36"/>
      <c r="D37" s="36"/>
      <c r="E37" s="13"/>
      <c r="F37" s="39"/>
      <c r="G37" s="12"/>
      <c r="H37" s="12"/>
    </row>
    <row r="38" spans="1:8" ht="19.5" customHeight="1" thickBot="1">
      <c r="A38" s="9" t="s">
        <v>130</v>
      </c>
      <c r="B38" s="9"/>
      <c r="C38" s="9"/>
      <c r="D38" s="9"/>
      <c r="E38" s="9"/>
      <c r="F38" s="9"/>
      <c r="G38" s="9"/>
      <c r="H38" s="9"/>
    </row>
    <row r="39" spans="1:8" ht="35.25" customHeight="1">
      <c r="A39" s="649" t="s">
        <v>131</v>
      </c>
      <c r="B39" s="649"/>
      <c r="C39" s="649"/>
      <c r="D39" s="649"/>
      <c r="E39" s="649"/>
      <c r="F39" s="649"/>
      <c r="G39" s="649"/>
      <c r="H39" s="649"/>
    </row>
    <row r="40" spans="1:8" ht="19.5" customHeight="1">
      <c r="A40" s="13"/>
      <c r="B40" s="16" t="s">
        <v>132</v>
      </c>
      <c r="C40" s="650">
        <f>IF(C31="","",IF(Spec="Not Applicable","N/A",C31-VLOOKUP(NomValueUnit,VolTable,6,FALSE)))</f>
      </c>
      <c r="D40" s="650"/>
      <c r="E40" s="13" t="s">
        <v>19</v>
      </c>
      <c r="F40" s="659">
        <f>IF(C40="","",IF(ABS(C40)&lt;=ABS(C41),Description&amp;" is Within Tolerence.",Description&amp;" is Out-Of-Tolerance."))</f>
      </c>
      <c r="G40" s="659"/>
      <c r="H40" s="659"/>
    </row>
    <row r="41" spans="1:8" ht="19.5" customHeight="1">
      <c r="A41" s="13"/>
      <c r="B41" s="16" t="s">
        <v>537</v>
      </c>
      <c r="C41" s="650">
        <f>IF(C31="","",IF(Spec="Not Applicable","N/A",Tol-ReportedUnc))</f>
      </c>
      <c r="D41" s="650"/>
      <c r="E41" s="13" t="s">
        <v>19</v>
      </c>
      <c r="F41" s="659"/>
      <c r="G41" s="659"/>
      <c r="H41" s="659"/>
    </row>
    <row r="42" ht="12" customHeight="1"/>
    <row r="43" spans="1:8" ht="19.5" customHeight="1" thickBot="1">
      <c r="A43" s="22" t="s">
        <v>80</v>
      </c>
      <c r="B43" s="23"/>
      <c r="C43" s="24"/>
      <c r="D43" s="25"/>
      <c r="E43" s="25"/>
      <c r="F43" s="26"/>
      <c r="G43" s="27"/>
      <c r="H43" s="27"/>
    </row>
    <row r="44" spans="1:8" ht="48" customHeight="1">
      <c r="A44" s="15"/>
      <c r="B44" s="17" t="s">
        <v>209</v>
      </c>
      <c r="C44" s="650">
        <f>IF(ISERROR(STDEV(C29,C30)),"",STDEV(C29,C30))</f>
      </c>
      <c r="D44" s="650"/>
      <c r="E44" s="13" t="s">
        <v>19</v>
      </c>
      <c r="F44" s="660">
        <f>IF(ISBLANK(PooledSD),"",IF(C44&lt;PooledSD*3.267,"The Standard Deviation of the Trials is Within the Control Limits, Plot Range on Control Chart.","Measurement Control Test Fails, Investigate and Correct Any Problems, Then Redo Measurements"))</f>
      </c>
      <c r="G44" s="660"/>
      <c r="H44" s="660"/>
    </row>
    <row r="45" ht="12" customHeight="1"/>
    <row r="46" spans="1:8" s="2" customFormat="1" ht="19.5" customHeight="1" thickBot="1">
      <c r="A46" s="22" t="s">
        <v>81</v>
      </c>
      <c r="B46" s="9"/>
      <c r="C46" s="9"/>
      <c r="D46" s="9"/>
      <c r="E46" s="9"/>
      <c r="F46" s="9"/>
      <c r="G46" s="9"/>
      <c r="H46" s="9"/>
    </row>
    <row r="47" spans="1:9" ht="19.5" customHeight="1">
      <c r="A47" s="13"/>
      <c r="B47" s="16" t="str">
        <f>IF(RefTempUnit="Reference Temerature (ºF)","Volume @ "&amp;RefTemp&amp;" "&amp;CHAR(186)&amp;"F =","Volume @ "&amp;RefTemp&amp;" "&amp;CHAR(186)&amp;"C =")</f>
        <v>Volume @  ºC =</v>
      </c>
      <c r="C47" s="36">
        <f>IF(C31="","",VLOOKUP(NomValueUnit,VolTable,2,FALSE))</f>
      </c>
      <c r="D47" s="325">
        <f>IF(C31="","",VLOOKUP(NomValueUnit,VolTable,5,FALSE))</f>
      </c>
      <c r="E47" s="13"/>
      <c r="F47" s="18"/>
      <c r="G47" s="12"/>
      <c r="H47" s="19"/>
      <c r="I47" s="3"/>
    </row>
    <row r="48" spans="1:9" ht="19.5" customHeight="1">
      <c r="A48" s="13"/>
      <c r="B48" s="323" t="s">
        <v>583</v>
      </c>
      <c r="C48" s="20">
        <f>Reported_df</f>
      </c>
      <c r="D48" s="324"/>
      <c r="E48" s="13"/>
      <c r="F48" s="18"/>
      <c r="G48" s="12"/>
      <c r="H48" s="19"/>
      <c r="I48" s="3"/>
    </row>
    <row r="49" spans="1:9" ht="19.5" customHeight="1">
      <c r="A49" s="13"/>
      <c r="B49" s="16" t="s">
        <v>471</v>
      </c>
      <c r="C49" s="20">
        <f>Reportedk</f>
      </c>
      <c r="D49" s="326"/>
      <c r="E49" s="13"/>
      <c r="F49" s="18"/>
      <c r="G49" s="12"/>
      <c r="H49" s="19"/>
      <c r="I49" s="3"/>
    </row>
    <row r="50" spans="2:4" ht="19.5" customHeight="1">
      <c r="B50" s="16" t="s">
        <v>584</v>
      </c>
      <c r="C50" s="20">
        <f>IF(C31="","",VLOOKUP(NomValueUnit,VolTable,3,FALSE))</f>
      </c>
      <c r="D50" s="326">
        <f>IF(C31="","",VLOOKUP(NomValueUnit,VolTable,5,FALSE))</f>
      </c>
    </row>
    <row r="51" ht="13.5" customHeight="1"/>
    <row r="52" ht="12.75" hidden="1"/>
    <row r="53" ht="12.75" hidden="1">
      <c r="B53" s="5"/>
    </row>
    <row r="54" spans="3:4" ht="12.75" hidden="1">
      <c r="C54" s="654"/>
      <c r="D54" s="654"/>
    </row>
    <row r="55" ht="12.75" hidden="1"/>
    <row r="56" ht="12.75" hidden="1"/>
  </sheetData>
  <sheetProtection password="83AF" sheet="1" objects="1" scenarios="1" selectLockedCells="1" selectUnlockedCells="1"/>
  <mergeCells count="40">
    <mergeCell ref="C5:D5"/>
    <mergeCell ref="C31:D31"/>
    <mergeCell ref="C16:D16"/>
    <mergeCell ref="A20:D20"/>
    <mergeCell ref="F24:G24"/>
    <mergeCell ref="F23:G23"/>
    <mergeCell ref="C27:D27"/>
    <mergeCell ref="B23:C23"/>
    <mergeCell ref="C28:D28"/>
    <mergeCell ref="C30:D30"/>
    <mergeCell ref="C40:D40"/>
    <mergeCell ref="C36:D36"/>
    <mergeCell ref="F10:H13"/>
    <mergeCell ref="A34:H34"/>
    <mergeCell ref="B21:C21"/>
    <mergeCell ref="B22:C22"/>
    <mergeCell ref="C11:D11"/>
    <mergeCell ref="C10:D10"/>
    <mergeCell ref="A39:H39"/>
    <mergeCell ref="C17:D17"/>
    <mergeCell ref="C54:D54"/>
    <mergeCell ref="F27:H28"/>
    <mergeCell ref="F29:H30"/>
    <mergeCell ref="C41:D41"/>
    <mergeCell ref="C29:D29"/>
    <mergeCell ref="F35:H36"/>
    <mergeCell ref="F44:H44"/>
    <mergeCell ref="C44:D44"/>
    <mergeCell ref="C35:D35"/>
    <mergeCell ref="F40:H41"/>
    <mergeCell ref="A4:H4"/>
    <mergeCell ref="A9:H9"/>
    <mergeCell ref="B24:C24"/>
    <mergeCell ref="F21:G21"/>
    <mergeCell ref="F22:G22"/>
    <mergeCell ref="C13:D13"/>
    <mergeCell ref="E20:H20"/>
    <mergeCell ref="C12:D12"/>
    <mergeCell ref="C6:D6"/>
    <mergeCell ref="F5:H6"/>
  </mergeCells>
  <conditionalFormatting sqref="F35">
    <cfRule type="expression" priority="5" dxfId="38" stopIfTrue="1">
      <formula>"spec=""Not Applicable"""</formula>
    </cfRule>
  </conditionalFormatting>
  <conditionalFormatting sqref="F40:H41">
    <cfRule type="expression" priority="3" dxfId="39" stopIfTrue="1">
      <formula>Spec="Not Applicable"</formula>
    </cfRule>
    <cfRule type="expression" priority="4" dxfId="40" stopIfTrue="1">
      <formula>AND(ISNUMBER($C$40),ABS($C$40)&lt;=ABS($C$41))</formula>
    </cfRule>
    <cfRule type="expression" priority="10" dxfId="41" stopIfTrue="1">
      <formula>ABS($C$40)&gt;ABS($C$41)</formula>
    </cfRule>
  </conditionalFormatting>
  <conditionalFormatting sqref="F44:H44">
    <cfRule type="expression" priority="1" dxfId="39" stopIfTrue="1">
      <formula>$C$44=""</formula>
    </cfRule>
    <cfRule type="expression" priority="2" dxfId="40" stopIfTrue="1">
      <formula>AND(ISNUMBER(C44),C44&lt;PooledSD*3.267)</formula>
    </cfRule>
    <cfRule type="expression" priority="13" dxfId="41" stopIfTrue="1">
      <formula>AND(ISNUMBER(C44),C44&gt;PooledSD*3.267)</formula>
    </cfRule>
  </conditionalFormatting>
  <conditionalFormatting sqref="F35:H36">
    <cfRule type="expression" priority="6" dxfId="40" stopIfTrue="1">
      <formula>$C$36&lt;$C$35</formula>
    </cfRule>
    <cfRule type="expression" priority="9" dxfId="41" stopIfTrue="1">
      <formula>$C$36&gt;$C$35</formula>
    </cfRule>
  </conditionalFormatting>
  <printOptions horizontalCentered="1"/>
  <pageMargins left="0.5" right="0.5" top="1.25" bottom="0.75" header="0.75" footer="0.5"/>
  <pageSetup fitToHeight="2" horizontalDpi="180" verticalDpi="180" orientation="portrait" scale="92" r:id="rId1"/>
  <headerFooter alignWithMargins="0">
    <oddHeader>&amp;L&amp;"Trebuchet MS,Regular"Gravimetric Calibration of Volumetric Ware
Using an Electronic Balance&amp;R&amp;"Trebuchet MS,Regular"WAMRF-005, Rev. 30, 12/10/2014</oddHeader>
    <oddFooter>&amp;L&amp;"Trebuchet MS,Regular"&amp;F&amp;R&amp;"Trebuchet MS,Regular"&amp;A Worksheet Page &amp;P of &amp;N</oddFooter>
  </headerFooter>
  <rowBreaks count="1" manualBreakCount="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WSDA Metrology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Gravimetric Calibration, WAMRF-005</dc:title>
  <dc:subject>NIST HB 145, SOP 14</dc:subject>
  <dc:creator>Dan Wright</dc:creator>
  <cp:keywords/>
  <dc:description/>
  <cp:lastModifiedBy>Dan Wright</cp:lastModifiedBy>
  <cp:lastPrinted>2014-06-30T15:35:51Z</cp:lastPrinted>
  <dcterms:created xsi:type="dcterms:W3CDTF">2000-04-27T22:54:34Z</dcterms:created>
  <dcterms:modified xsi:type="dcterms:W3CDTF">2014-12-31T16:03:41Z</dcterms:modified>
  <cp:category/>
  <cp:version/>
  <cp:contentType/>
  <cp:contentStatus/>
</cp:coreProperties>
</file>