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mbeddings/oleObject_2_0.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Override PartName="/xl/embeddings/oleObject_12_0.bin" ContentType="application/vnd.openxmlformats-officedocument.oleObject"/>
  <Override PartName="/xl/embeddings/oleObject_12_1.bin" ContentType="application/vnd.openxmlformats-officedocument.oleObject"/>
  <Override PartName="/xl/embeddings/oleObject_12_2.bin" ContentType="application/vnd.openxmlformats-officedocument.oleObject"/>
  <Override PartName="/xl/embeddings/oleObject_12_3.bin" ContentType="application/vnd.openxmlformats-officedocument.oleObject"/>
  <Override PartName="/xl/embeddings/oleObject_12_4.bin" ContentType="application/vnd.openxmlformats-officedocument.oleObject"/>
  <Override PartName="/xl/embeddings/oleObject_12_5.bin" ContentType="application/vnd.openxmlformats-officedocument.oleObject"/>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45" windowHeight="5625" tabRatio="968" firstSheet="2" activeTab="3"/>
  </bookViews>
  <sheets>
    <sheet name="Software Technical Assessment" sheetId="1" r:id="rId1"/>
    <sheet name="Documentation" sheetId="2" r:id="rId2"/>
    <sheet name="SOP 21" sheetId="3" r:id="rId3"/>
    <sheet name="Instructions" sheetId="4" r:id="rId4"/>
    <sheet name="Report Pages 1-3" sheetId="5" r:id="rId5"/>
    <sheet name="Report Pages 4-5" sheetId="6" r:id="rId6"/>
    <sheet name="Report Page 6" sheetId="7" r:id="rId7"/>
    <sheet name="Prover Data Entry" sheetId="8" r:id="rId8"/>
    <sheet name="Control Data" sheetId="9" r:id="rId9"/>
    <sheet name="Calculations" sheetId="10" r:id="rId10"/>
    <sheet name="Pressure Corrections" sheetId="11" r:id="rId11"/>
    <sheet name="Water Compressability" sheetId="12" r:id="rId12"/>
    <sheet name="Uncertainty Analysis" sheetId="13" r:id="rId13"/>
    <sheet name="Tables &amp; Lists" sheetId="14" r:id="rId14"/>
  </sheets>
  <externalReferences>
    <externalReference r:id="rId17"/>
    <externalReference r:id="rId18"/>
    <externalReference r:id="rId19"/>
    <externalReference r:id="rId20"/>
  </externalReferences>
  <definedNames>
    <definedName name="__123Graph_A" hidden="1">'[1]H145LPG'!$I$99:$I$118</definedName>
    <definedName name="__123Graph_B" hidden="1">'[1]H145LPG'!$J$99:$J$118</definedName>
    <definedName name="__123Graph_LBL_A" hidden="1">'[1]H145LPG'!$I$120:$I$120</definedName>
    <definedName name="__123Graph_LBL_B" hidden="1">'[1]H145LPG'!$J$120:$J$120</definedName>
    <definedName name="__123Graph_X" hidden="1">'[1]H145LPG'!$G$99:$G$118</definedName>
    <definedName name="_Fill" hidden="1">'[1]H145LPG'!$F$67:$F$73</definedName>
    <definedName name="_Table1_In1" localSheetId="3" hidden="1">#REF!</definedName>
    <definedName name="_Table1_In1" localSheetId="6" hidden="1">#REF!</definedName>
    <definedName name="_Table1_In1" localSheetId="4" hidden="1">#REF!</definedName>
    <definedName name="_Table1_In1" localSheetId="0" hidden="1">'[4]2 Liter'!$B$33</definedName>
    <definedName name="_Table1_In1" localSheetId="12" hidden="1">'[4]2 Liter'!$B$33</definedName>
    <definedName name="_Table1_In1" hidden="1">#REF!</definedName>
    <definedName name="_Table1_Out" localSheetId="3" hidden="1">#REF!</definedName>
    <definedName name="_Table1_Out" localSheetId="6" hidden="1">#REF!</definedName>
    <definedName name="_Table1_Out" localSheetId="4" hidden="1">#REF!</definedName>
    <definedName name="_Table1_Out" localSheetId="0" hidden="1">'[4]2 Liter'!$B$33</definedName>
    <definedName name="_Table1_Out" localSheetId="12" hidden="1">'[4]2 Liter'!$B$33</definedName>
    <definedName name="_Table1_Out" hidden="1">#REF!</definedName>
    <definedName name="_Table2_In1" localSheetId="6" hidden="1">'[3]2 Liter'!$B$33</definedName>
    <definedName name="_Table2_In1" localSheetId="4" hidden="1">'[2]2 Liter'!$B$33</definedName>
    <definedName name="_Table2_In1" localSheetId="5" hidden="1">'[3]2 Liter'!$B$33</definedName>
    <definedName name="_Table2_In1" localSheetId="0" hidden="1">'[4]2 Liter'!$B$33</definedName>
    <definedName name="_Table2_In1" localSheetId="12" hidden="1">'[4]2 Liter'!$B$33</definedName>
    <definedName name="_Table2_In1" hidden="1">'[3]2 Liter'!$B$33</definedName>
    <definedName name="_Table2_Out" localSheetId="6" hidden="1">'[3]2 Liter'!$B$33</definedName>
    <definedName name="_Table2_Out" localSheetId="4" hidden="1">'[2]2 Liter'!$B$33</definedName>
    <definedName name="_Table2_Out" localSheetId="5" hidden="1">'[3]2 Liter'!$B$33</definedName>
    <definedName name="_Table2_Out" localSheetId="0" hidden="1">'[4]2 Liter'!$B$33</definedName>
    <definedName name="_Table2_Out" localSheetId="12" hidden="1">'[4]2 Liter'!$B$33</definedName>
    <definedName name="_Table2_Out" hidden="1">'[3]2 Liter'!$B$33</definedName>
    <definedName name="_unc1">'Prover Data Entry'!$H$37</definedName>
    <definedName name="_unc2">'Prover Data Entry'!$H$38</definedName>
    <definedName name="_unc3">'Prover Data Entry'!$H$39</definedName>
    <definedName name="_unc4">'Prover Data Entry'!$H$40</definedName>
    <definedName name="_xlfn.AVERAGEIF" hidden="1">#NAME?</definedName>
    <definedName name="_xlfn.IFERROR" hidden="1">#NAME?</definedName>
    <definedName name="a_1">'Prover Data Entry'!$F$43</definedName>
    <definedName name="a_2">'Prover Data Entry'!$F$44</definedName>
    <definedName name="a_3">'Prover Data Entry'!$F$45</definedName>
    <definedName name="a_4">'Prover Data Entry'!$F$46</definedName>
    <definedName name="Address_1">'Prover Data Entry'!$C$5</definedName>
    <definedName name="Adjusted">'Prover Data Entry'!$J$97</definedName>
    <definedName name="AirTemp">'Prover Data Entry'!$D$54</definedName>
    <definedName name="AirTemp_F">'Prover Data Entry'!$D$108</definedName>
    <definedName name="answer_list">'Tables &amp; Lists'!$D$14:$D$15</definedName>
    <definedName name="AsFound">'Calculations'!$E$63</definedName>
    <definedName name="AsLeft">'Calculations'!$E$64</definedName>
    <definedName name="B">'Prover Data Entry'!$I$14</definedName>
    <definedName name="BestU">'Prover Data Entry'!$F$20</definedName>
    <definedName name="BestUdf">'Prover Data Entry'!$K$20</definedName>
    <definedName name="BestUk">'Prover Data Entry'!$I$20</definedName>
    <definedName name="Bottom_Neck_id">'Prover Data Entry'!$G$15</definedName>
    <definedName name="BottomZero">'Prover Data Entry'!$J$85</definedName>
    <definedName name="Cal_Date">'Prover Data Entry'!$C$22</definedName>
    <definedName name="CCE_Table">'Tables &amp; Lists'!$A$5:$B$7</definedName>
    <definedName name="Condition">'Prover Data Entry'!$C$16</definedName>
    <definedName name="CustomerID">'Prover Data Entry'!$K$4</definedName>
    <definedName name="Description">'Prover Data Entry'!$C$10</definedName>
    <definedName name="df">'Prover Data Entry'!$K$19</definedName>
    <definedName name="drops1">'Prover Data Entry'!$E$37</definedName>
    <definedName name="drops2">'Prover Data Entry'!$E$38</definedName>
    <definedName name="drops3">'Prover Data Entry'!$E$39</definedName>
    <definedName name="drops4">'Prover Data Entry'!$E$40</definedName>
    <definedName name="Eff_df">'Calculations'!$E$65</definedName>
    <definedName name="Final_k">'Uncertainty Analysis'!$K$104</definedName>
    <definedName name="Final_U">'Uncertainty Analysis'!$K$105</definedName>
    <definedName name="Final_Veff">'Uncertainty Analysis'!$K$103</definedName>
    <definedName name="GradNeckVol">'Prover Data Entry'!$J$12</definedName>
    <definedName name="Humidity">'Prover Data Entry'!$G$54</definedName>
    <definedName name="Humidity_F">'Prover Data Entry'!$G$108</definedName>
    <definedName name="increment">'Prover Data Entry'!$J$13</definedName>
    <definedName name="interval">'Prover Data Entry'!$K$21</definedName>
    <definedName name="intervalQ">'Prover Data Entry'!$F$21</definedName>
    <definedName name="JobNo">'Prover Data Entry'!$J$16</definedName>
    <definedName name="k">'Uncertainty Analysis'!$K$98</definedName>
    <definedName name="k_1">'Prover Data Entry'!$J$37</definedName>
    <definedName name="k_2">'Prover Data Entry'!$J$38</definedName>
    <definedName name="k_3">'Prover Data Entry'!$J$39</definedName>
    <definedName name="k_4">'Prover Data Entry'!$J$40</definedName>
    <definedName name="kfactor">'Calculations'!$E$66</definedName>
    <definedName name="Line_w">'Prover Data Entry'!$K$15</definedName>
    <definedName name="Material">'Prover Data Entry'!$C$14</definedName>
    <definedName name="Material_list">'Tables &amp; Lists'!$A$5:$A$7</definedName>
    <definedName name="MeasuredU">'Uncertainty Analysis'!$K$99</definedName>
    <definedName name="MFG">'Prover Data Entry'!$C$11</definedName>
    <definedName name="mmHg">'Prover Data Entry'!$J$18</definedName>
    <definedName name="Nom_Val">'Prover Data Entry'!$C$12</definedName>
    <definedName name="NomVal_list">'Tables &amp; Lists'!$D$17:$D$18</definedName>
    <definedName name="NomValUnit">'Prover Data Entry'!$A$12</definedName>
    <definedName name="PO_No">'Prover Data Entry'!$I$5</definedName>
    <definedName name="POC_Name">'Prover Data Entry'!$I$6</definedName>
    <definedName name="POC_Phone">'Prover Data Entry'!$I$7</definedName>
    <definedName name="PooledSD">'Prover Data Entry'!$F$19</definedName>
    <definedName name="_xlnm.Print_Area" localSheetId="9">'Calculations'!$A$1:$J$68</definedName>
    <definedName name="_xlnm.Print_Area" localSheetId="7">'Prover Data Entry'!$A$1:$K$113</definedName>
    <definedName name="_xlnm.Print_Area" localSheetId="6">'Report Page 6'!$A$1:$E$35</definedName>
    <definedName name="_xlnm.Print_Area" localSheetId="4">'Report Pages 1-3'!$A$1:$G$96</definedName>
    <definedName name="_xlnm.Print_Area" localSheetId="0">'Software Technical Assessment'!$A$1:$D$49</definedName>
    <definedName name="_xlnm.Print_Area" localSheetId="11">'Water Compressability'!$A$1:$E$61</definedName>
    <definedName name="_xlnm.Print_Titles" localSheetId="9">'Calculations'!$1:$2</definedName>
    <definedName name="_xlnm.Print_Titles" localSheetId="1">'Documentation'!$1:$2</definedName>
    <definedName name="_xlnm.Print_Titles" localSheetId="3">'Instructions'!$5:$6</definedName>
    <definedName name="_xlnm.Print_Titles" localSheetId="7">'Prover Data Entry'!$1:$2</definedName>
    <definedName name="_xlnm.Print_Titles" localSheetId="6">'Report Page 6'!$1:$2</definedName>
    <definedName name="_xlnm.Print_Titles" localSheetId="5">'Report Pages 4-5'!$1:$2</definedName>
    <definedName name="_xlnm.Print_Titles" localSheetId="0">'Software Technical Assessment'!$1:$5</definedName>
    <definedName name="_xlnm.Print_Titles" localSheetId="13">'Tables &amp; Lists'!$1:$2</definedName>
    <definedName name="_xlnm.Print_Titles" localSheetId="12">'Uncertainty Analysis'!$1:$2</definedName>
    <definedName name="_xlnm.Print_Titles" localSheetId="11">'Water Compressability'!$1:$2</definedName>
    <definedName name="ProverTempCorr">'Prover Data Entry'!$F$51</definedName>
    <definedName name="ProverTempk">'Prover Data Entry'!$J$51</definedName>
    <definedName name="ProverTempU">'Prover Data Entry'!$H$51</definedName>
    <definedName name="RangeMean_list">'Tables &amp; Lists'!$D$9:$D$12</definedName>
    <definedName name="RefT">'Prover Data Entry'!$J$17</definedName>
    <definedName name="RefTemp_list">'Tables &amp; Lists'!$D$20:$D$21</definedName>
    <definedName name="RefTempUnit">'Prover Data Entry'!$A$17</definedName>
    <definedName name="Rmean">'Prover Data Entry'!$F$19</definedName>
    <definedName name="RptNo">'Prover Data Entry'!$I$1</definedName>
    <definedName name="Scale_list">'Tables &amp; Lists'!$D$4:$D$7</definedName>
    <definedName name="Scale_Unit">'Prover Data Entry'!$E$12</definedName>
    <definedName name="SealNoBottom">'Prover Data Entry'!$I$105</definedName>
    <definedName name="SealNoTop">'Prover Data Entry'!$D$105</definedName>
    <definedName name="SN">'Prover Data Entry'!$J$11</definedName>
    <definedName name="Standards_Table_A">'Prover Data Entry'!$A$36:$K$40</definedName>
    <definedName name="Standards_Table_B">'Prover Data Entry'!$A$42:$K$46</definedName>
    <definedName name="StdTempCorr">'Prover Data Entry'!$F$50</definedName>
    <definedName name="StdTempk">'Prover Data Entry'!$J$50</definedName>
    <definedName name="StdTempU">'Prover Data Entry'!$H$50</definedName>
    <definedName name="t_1">'Prover Data Entry'!$E$81</definedName>
    <definedName name="t_2">'Prover Data Entry'!$J$81</definedName>
    <definedName name="Tech">'Prover Data Entry'!$F$22</definedName>
    <definedName name="Tolerance">'Calculations'!$E$62</definedName>
    <definedName name="Top_Neck_id">'Prover Data Entry'!$C$15</definedName>
    <definedName name="U60_1">'Calculations'!$E$21</definedName>
    <definedName name="U60_2">'Calculations'!$J$21</definedName>
    <definedName name="Unc">'Calculations'!$E$67</definedName>
    <definedName name="V_1">'Prover Data Entry'!$F$37</definedName>
    <definedName name="V_2">'Prover Data Entry'!$F$38</definedName>
    <definedName name="V_3">'Prover Data Entry'!$F$39</definedName>
    <definedName name="V_4">'Prover Data Entry'!$F$40</definedName>
    <definedName name="Veff">'Uncertainty Analysis'!$K$97</definedName>
    <definedName name="WODate">'Prover Data Entry'!$J$10</definedName>
    <definedName name="Z60_1">'Calculations'!$E$27</definedName>
    <definedName name="Z60_2">'Calculations'!$E$28</definedName>
  </definedNames>
  <calcPr fullCalcOnLoad="1"/>
</workbook>
</file>

<file path=xl/comments10.xml><?xml version="1.0" encoding="utf-8"?>
<comments xmlns="http://schemas.openxmlformats.org/spreadsheetml/2006/main">
  <authors>
    <author>Dan Wright</author>
  </authors>
  <commentList>
    <comment ref="A57" authorId="0">
      <text>
        <r>
          <rPr>
            <b/>
            <sz val="8"/>
            <color indexed="10"/>
            <rFont val="Trebuchet MS"/>
            <family val="2"/>
          </rPr>
          <t>Metric Prover Pressure Test Formula</t>
        </r>
      </text>
    </comment>
    <comment ref="J57" authorId="0">
      <text>
        <r>
          <rPr>
            <b/>
            <sz val="8"/>
            <color indexed="10"/>
            <rFont val="Trebuchet MS"/>
            <family val="2"/>
          </rPr>
          <t>Customary Prover Pressure Test Formula</t>
        </r>
      </text>
    </comment>
  </commentList>
</comments>
</file>

<file path=xl/comments3.xml><?xml version="1.0" encoding="utf-8"?>
<comments xmlns="http://schemas.openxmlformats.org/spreadsheetml/2006/main">
  <authors>
    <author>Dan Wright</author>
  </authors>
  <commentList>
    <comment ref="A1" authorId="0">
      <text>
        <r>
          <rPr>
            <b/>
            <sz val="9"/>
            <color indexed="60"/>
            <rFont val="Tahoma"/>
            <family val="2"/>
          </rPr>
          <t>Unprotect the worksheet, then double click the document to open in Adobe Acrobat</t>
        </r>
      </text>
    </comment>
  </commentList>
</comments>
</file>

<file path=xl/comments5.xml><?xml version="1.0" encoding="utf-8"?>
<comments xmlns="http://schemas.openxmlformats.org/spreadsheetml/2006/main">
  <authors>
    <author>Dan Wright</author>
  </authors>
  <commentList>
    <comment ref="A1" authorId="0">
      <text>
        <r>
          <rPr>
            <b/>
            <sz val="8"/>
            <color indexed="10"/>
            <rFont val="Trebuchet MS"/>
            <family val="2"/>
          </rPr>
          <t>Break links to lock in data.</t>
        </r>
      </text>
    </comment>
  </commentList>
</comments>
</file>

<file path=xl/sharedStrings.xml><?xml version="1.0" encoding="utf-8"?>
<sst xmlns="http://schemas.openxmlformats.org/spreadsheetml/2006/main" count="1020" uniqueCount="781">
  <si>
    <t>Customer Information</t>
  </si>
  <si>
    <t>POC</t>
  </si>
  <si>
    <t>Phone</t>
  </si>
  <si>
    <t>PO#</t>
  </si>
  <si>
    <t>Manufacture</t>
  </si>
  <si>
    <t>Serial Number</t>
  </si>
  <si>
    <t>k-factor</t>
  </si>
  <si>
    <t>ID Code</t>
  </si>
  <si>
    <t>Description</t>
  </si>
  <si>
    <t>Material</t>
  </si>
  <si>
    <t>Prover Material</t>
  </si>
  <si>
    <t>Humidity (% RH)</t>
  </si>
  <si>
    <t>Laboratory Test Conditions</t>
  </si>
  <si>
    <t>Technician</t>
  </si>
  <si>
    <t>Yes</t>
  </si>
  <si>
    <t>No</t>
  </si>
  <si>
    <t>Trial 1</t>
  </si>
  <si>
    <t>Drop Number</t>
  </si>
  <si>
    <t>Trial 2</t>
  </si>
  <si>
    <t>Standard(s) Observations</t>
  </si>
  <si>
    <t>Drop #</t>
  </si>
  <si>
    <t>Artifact Observations</t>
  </si>
  <si>
    <t>Measurement Range =</t>
  </si>
  <si>
    <t>Type</t>
  </si>
  <si>
    <t>B</t>
  </si>
  <si>
    <t>A</t>
  </si>
  <si>
    <t>Drops</t>
  </si>
  <si>
    <t>Pressure Measurements</t>
  </si>
  <si>
    <t>Increasing / Decreasing Pressure Test.</t>
  </si>
  <si>
    <t>Increasing Pressure</t>
  </si>
  <si>
    <t>Decreasing Pressure</t>
  </si>
  <si>
    <t>psig</t>
  </si>
  <si>
    <t>Steel, Stainless</t>
  </si>
  <si>
    <t>Steel, Pressure Vessel, Low Carbon</t>
  </si>
  <si>
    <t>Steel, Prover, Low Carbon</t>
  </si>
  <si>
    <t xml:space="preserve">A. </t>
  </si>
  <si>
    <t xml:space="preserve">B. </t>
  </si>
  <si>
    <t>where</t>
  </si>
  <si>
    <t>Specify Procedure</t>
  </si>
  <si>
    <t>Specify Equation(s)</t>
  </si>
  <si>
    <t>Temperature of water for each delivery with the subscripts as above</t>
  </si>
  <si>
    <t>Distribution</t>
  </si>
  <si>
    <t>Normal</t>
  </si>
  <si>
    <t>Nominal Volume
(at zero mark on gauge)</t>
  </si>
  <si>
    <t>Traceability Statement</t>
  </si>
  <si>
    <t>Uncertainty Statement</t>
  </si>
  <si>
    <t xml:space="preserve"> Pick Lists
for
Data Validation Cells</t>
  </si>
  <si>
    <t>Scale Graduations (gal)</t>
  </si>
  <si>
    <t>Artifact and Measurement Information</t>
  </si>
  <si>
    <t>Volume Standard(s) Data</t>
  </si>
  <si>
    <t>Artifact Condition</t>
  </si>
  <si>
    <t>Was a Calibration Interval Requested or is one Required?</t>
  </si>
  <si>
    <t>Temperature Standard(s) Data</t>
  </si>
  <si>
    <t>Water Temperature, Bottom (ºC)</t>
  </si>
  <si>
    <t>Water Temperature, Middle (ºC)</t>
  </si>
  <si>
    <t>Water Temperature, Top (ºC)</t>
  </si>
  <si>
    <t>Water Temperature, Average (ºC)</t>
  </si>
  <si>
    <t>i</t>
  </si>
  <si>
    <t>α =</t>
  </si>
  <si>
    <t>β =</t>
  </si>
  <si>
    <t>Scale reading</t>
  </si>
  <si>
    <t>Nominal volume of prover</t>
  </si>
  <si>
    <t>Pressure Corrections</t>
  </si>
  <si>
    <t>If bottom gauge scale plate is adjustable, enter inside diameter of the lower neck (in)</t>
  </si>
  <si>
    <t>Prover Volume As Found =</t>
  </si>
  <si>
    <t>Prover Volume As Left =</t>
  </si>
  <si>
    <t>Prover correction at selected psig</t>
  </si>
  <si>
    <t>Selected applied pressure</t>
  </si>
  <si>
    <t>●  Enter the Pressure Correction from Table 1 that corresponds with the pressure being tested on your LPG Meter Test form.</t>
  </si>
  <si>
    <t>Top Scale Security Seal #</t>
  </si>
  <si>
    <t>Bottom Scale Security Seal #</t>
  </si>
  <si>
    <t>Documentation</t>
  </si>
  <si>
    <t>Date Received</t>
  </si>
  <si>
    <t>Uncertainty Analysis</t>
  </si>
  <si>
    <t>Calculations</t>
  </si>
  <si>
    <t>Measurement Trial Calculations</t>
  </si>
  <si>
    <t>Volume Standard(s) Trial 1</t>
  </si>
  <si>
    <t>Volume Standard(s) Trial 2</t>
  </si>
  <si>
    <t>Water Density (g/cm³)</t>
  </si>
  <si>
    <t>LPG Prover Trial 1</t>
  </si>
  <si>
    <t>LPG Prover Trial 2</t>
  </si>
  <si>
    <t>Water Density (g/cm³) =</t>
  </si>
  <si>
    <t>LPG Prover Nominal Value =</t>
  </si>
  <si>
    <t>LPG Prover Volume As Found =</t>
  </si>
  <si>
    <t>Tables &amp; Lists</t>
  </si>
  <si>
    <t>Prover Data Entry</t>
  </si>
  <si>
    <t>Correction
(ºC)</t>
  </si>
  <si>
    <t>ID
Code</t>
  </si>
  <si>
    <t>Water Temp.
(ºC)</t>
  </si>
  <si>
    <t>Temperature (ºC)</t>
  </si>
  <si>
    <t>Range Mean from CC (gal)</t>
  </si>
  <si>
    <t>Results Formatted For Calibration Report</t>
  </si>
  <si>
    <t>Pressure Correction Calculations</t>
  </si>
  <si>
    <t>Pressure Correction Formulas</t>
  </si>
  <si>
    <t xml:space="preserve">Vnom = </t>
  </si>
  <si>
    <t>P =</t>
  </si>
  <si>
    <t>Pressure in atm</t>
  </si>
  <si>
    <t>To Convert From</t>
  </si>
  <si>
    <t>To</t>
  </si>
  <si>
    <t>Multiply By</t>
  </si>
  <si>
    <t>atmosphere (standard)</t>
  </si>
  <si>
    <t>Calibration Data</t>
  </si>
  <si>
    <t>Pressure (psig)</t>
  </si>
  <si>
    <t>Pressure (atm)</t>
  </si>
  <si>
    <r>
      <t>W</t>
    </r>
    <r>
      <rPr>
        <vertAlign val="subscript"/>
        <sz val="11"/>
        <rFont val="Times New Roman"/>
        <family val="1"/>
      </rPr>
      <t>cf</t>
    </r>
    <r>
      <rPr>
        <sz val="11"/>
        <rFont val="Times New Roman"/>
        <family val="1"/>
      </rPr>
      <t xml:space="preserve"> =  1 + ( k</t>
    </r>
    <r>
      <rPr>
        <i/>
        <sz val="11"/>
        <rFont val="Times New Roman"/>
        <family val="1"/>
      </rPr>
      <t>T</t>
    </r>
    <r>
      <rPr>
        <sz val="11"/>
        <rFont val="Times New Roman"/>
        <family val="1"/>
      </rPr>
      <t xml:space="preserve"> ) ( P )</t>
    </r>
  </si>
  <si>
    <r>
      <t>k</t>
    </r>
    <r>
      <rPr>
        <i/>
        <sz val="10"/>
        <rFont val="Tahoma"/>
        <family val="2"/>
      </rPr>
      <t>T</t>
    </r>
    <r>
      <rPr>
        <sz val="10"/>
        <rFont val="Tahoma"/>
        <family val="2"/>
      </rPr>
      <t xml:space="preserve"> =</t>
    </r>
  </si>
  <si>
    <r>
      <t>t</t>
    </r>
    <r>
      <rPr>
        <sz val="10"/>
        <rFont val="Trebuchet MS"/>
        <family val="2"/>
      </rPr>
      <t xml:space="preserve"> = temperature of water</t>
    </r>
  </si>
  <si>
    <r>
      <t>pounds per square inch (psi</t>
    </r>
    <r>
      <rPr>
        <sz val="10"/>
        <rFont val="Trebuchet MS"/>
        <family val="2"/>
      </rPr>
      <t>)</t>
    </r>
  </si>
  <si>
    <r>
      <t>k</t>
    </r>
    <r>
      <rPr>
        <i/>
        <sz val="10"/>
        <rFont val="Tahoma"/>
        <family val="2"/>
      </rPr>
      <t xml:space="preserve">T </t>
    </r>
    <r>
      <rPr>
        <sz val="10"/>
        <rFont val="Tahoma"/>
        <family val="2"/>
      </rPr>
      <t>(kPa)</t>
    </r>
    <r>
      <rPr>
        <vertAlign val="superscript"/>
        <sz val="10"/>
        <rFont val="Tahoma"/>
        <family val="2"/>
      </rPr>
      <t>-1</t>
    </r>
    <r>
      <rPr>
        <i/>
        <sz val="10"/>
        <rFont val="Tahoma"/>
        <family val="2"/>
      </rPr>
      <t xml:space="preserve"> </t>
    </r>
    <r>
      <rPr>
        <sz val="10"/>
        <rFont val="Tahoma"/>
        <family val="2"/>
      </rPr>
      <t>=</t>
    </r>
  </si>
  <si>
    <r>
      <t>k</t>
    </r>
    <r>
      <rPr>
        <i/>
        <sz val="10"/>
        <rFont val="Tahoma"/>
        <family val="2"/>
      </rPr>
      <t xml:space="preserve">T </t>
    </r>
    <r>
      <rPr>
        <sz val="10"/>
        <rFont val="Tahoma"/>
        <family val="2"/>
      </rPr>
      <t>(atm)</t>
    </r>
    <r>
      <rPr>
        <i/>
        <sz val="10"/>
        <rFont val="Tahoma"/>
        <family val="2"/>
      </rPr>
      <t xml:space="preserve"> </t>
    </r>
    <r>
      <rPr>
        <sz val="10"/>
        <rFont val="Tahoma"/>
        <family val="2"/>
      </rPr>
      <t>=</t>
    </r>
  </si>
  <si>
    <t>Prover Error at Reference Temperature and Selected Pressure</t>
  </si>
  <si>
    <t>Wcf</t>
  </si>
  <si>
    <t>Water Compressibility Factor</t>
  </si>
  <si>
    <t>Water Compressibility Value</t>
  </si>
  <si>
    <r>
      <t>50.831 01x10</t>
    </r>
    <r>
      <rPr>
        <vertAlign val="superscript"/>
        <sz val="10"/>
        <rFont val="Trebuchet MS"/>
        <family val="2"/>
      </rPr>
      <t>-8</t>
    </r>
    <r>
      <rPr>
        <sz val="10"/>
        <rFont val="Trebuchet MS"/>
        <family val="2"/>
      </rPr>
      <t xml:space="preserve"> - 3.682 93x10</t>
    </r>
    <r>
      <rPr>
        <vertAlign val="superscript"/>
        <sz val="10"/>
        <rFont val="Trebuchet MS"/>
        <family val="2"/>
      </rPr>
      <t>-9</t>
    </r>
    <r>
      <rPr>
        <i/>
        <sz val="10"/>
        <rFont val="Trebuchet MS"/>
        <family val="2"/>
      </rPr>
      <t>t</t>
    </r>
    <r>
      <rPr>
        <sz val="10"/>
        <rFont val="Trebuchet MS"/>
        <family val="2"/>
      </rPr>
      <t xml:space="preserve"> + 7.263 725x10</t>
    </r>
    <r>
      <rPr>
        <vertAlign val="superscript"/>
        <sz val="10"/>
        <rFont val="Trebuchet MS"/>
        <family val="2"/>
      </rPr>
      <t>-11</t>
    </r>
    <r>
      <rPr>
        <i/>
        <sz val="10"/>
        <rFont val="Trebuchet MS"/>
        <family val="2"/>
      </rPr>
      <t>t</t>
    </r>
    <r>
      <rPr>
        <vertAlign val="superscript"/>
        <sz val="10"/>
        <rFont val="Trebuchet MS"/>
        <family val="2"/>
      </rPr>
      <t>2</t>
    </r>
    <r>
      <rPr>
        <sz val="10"/>
        <rFont val="Trebuchet MS"/>
        <family val="2"/>
      </rPr>
      <t xml:space="preserve"> - 6.597 702x10</t>
    </r>
    <r>
      <rPr>
        <vertAlign val="superscript"/>
        <sz val="10"/>
        <rFont val="Trebuchet MS"/>
        <family val="2"/>
      </rPr>
      <t>-13</t>
    </r>
    <r>
      <rPr>
        <i/>
        <sz val="10"/>
        <rFont val="Trebuchet MS"/>
        <family val="2"/>
      </rPr>
      <t>t</t>
    </r>
    <r>
      <rPr>
        <vertAlign val="superscript"/>
        <sz val="10"/>
        <rFont val="Trebuchet MS"/>
        <family val="2"/>
      </rPr>
      <t>3</t>
    </r>
    <r>
      <rPr>
        <sz val="10"/>
        <rFont val="Trebuchet MS"/>
        <family val="2"/>
      </rPr>
      <t xml:space="preserve"> + 2.877 67x10</t>
    </r>
    <r>
      <rPr>
        <vertAlign val="superscript"/>
        <sz val="10"/>
        <rFont val="Trebuchet MS"/>
        <family val="2"/>
      </rPr>
      <t>-15</t>
    </r>
    <r>
      <rPr>
        <i/>
        <sz val="10"/>
        <rFont val="Trebuchet MS"/>
        <family val="2"/>
      </rPr>
      <t>t</t>
    </r>
    <r>
      <rPr>
        <vertAlign val="superscript"/>
        <sz val="10"/>
        <rFont val="Trebuchet MS"/>
        <family val="2"/>
      </rPr>
      <t>4</t>
    </r>
  </si>
  <si>
    <t>Note: This worksheet takes into account the typical atmospheric pressure at the location of the calibration.</t>
  </si>
  <si>
    <r>
      <t>W</t>
    </r>
    <r>
      <rPr>
        <vertAlign val="subscript"/>
        <sz val="11"/>
        <rFont val="Times New Roman"/>
        <family val="1"/>
      </rPr>
      <t>cv</t>
    </r>
    <r>
      <rPr>
        <sz val="11"/>
        <rFont val="Times New Roman"/>
        <family val="1"/>
      </rPr>
      <t xml:space="preserve"> =  ( Vnom ) ( k</t>
    </r>
    <r>
      <rPr>
        <i/>
        <sz val="11"/>
        <rFont val="Times New Roman"/>
        <family val="1"/>
      </rPr>
      <t>T</t>
    </r>
    <r>
      <rPr>
        <sz val="11"/>
        <rFont val="Times New Roman"/>
        <family val="1"/>
      </rPr>
      <t xml:space="preserve"> ) ( P )</t>
    </r>
  </si>
  <si>
    <t>Scale Graduations (in³)</t>
  </si>
  <si>
    <t>LPG Prover Volume As Left =</t>
  </si>
  <si>
    <t>Pressure Correction</t>
  </si>
  <si>
    <t>Was upper or lower scale adjusted for nominal volume @ 100 psig during this calibration?</t>
  </si>
  <si>
    <r>
      <t>V</t>
    </r>
    <r>
      <rPr>
        <i/>
        <vertAlign val="subscript"/>
        <sz val="11"/>
        <rFont val="Tahoma"/>
        <family val="2"/>
      </rPr>
      <t xml:space="preserve">Nominal </t>
    </r>
    <r>
      <rPr>
        <i/>
        <sz val="11"/>
        <rFont val="Tahoma"/>
        <family val="2"/>
      </rPr>
      <t>=</t>
    </r>
  </si>
  <si>
    <r>
      <t>W</t>
    </r>
    <r>
      <rPr>
        <i/>
        <vertAlign val="subscript"/>
        <sz val="11"/>
        <rFont val="Tahoma"/>
        <family val="2"/>
      </rPr>
      <t xml:space="preserve">cf </t>
    </r>
    <r>
      <rPr>
        <i/>
        <sz val="11"/>
        <rFont val="Tahoma"/>
        <family val="2"/>
      </rPr>
      <t>=</t>
    </r>
  </si>
  <si>
    <r>
      <t>S</t>
    </r>
    <r>
      <rPr>
        <i/>
        <vertAlign val="subscript"/>
        <sz val="11"/>
        <rFont val="Tahoma"/>
        <family val="2"/>
      </rPr>
      <t xml:space="preserve">r </t>
    </r>
    <r>
      <rPr>
        <i/>
        <sz val="11"/>
        <rFont val="Tahoma"/>
        <family val="2"/>
      </rPr>
      <t>=</t>
    </r>
  </si>
  <si>
    <r>
      <t>N</t>
    </r>
    <r>
      <rPr>
        <i/>
        <vertAlign val="subscript"/>
        <sz val="11"/>
        <rFont val="Tahoma"/>
        <family val="2"/>
      </rPr>
      <t xml:space="preserve">psig </t>
    </r>
    <r>
      <rPr>
        <i/>
        <sz val="11"/>
        <rFont val="Tahoma"/>
        <family val="2"/>
      </rPr>
      <t>=</t>
    </r>
  </si>
  <si>
    <r>
      <t>P</t>
    </r>
    <r>
      <rPr>
        <i/>
        <vertAlign val="subscript"/>
        <sz val="11"/>
        <rFont val="Tahoma"/>
        <family val="2"/>
      </rPr>
      <t xml:space="preserve">corr </t>
    </r>
    <r>
      <rPr>
        <i/>
        <sz val="11"/>
        <rFont val="Tahoma"/>
        <family val="2"/>
      </rPr>
      <t>@ N</t>
    </r>
    <r>
      <rPr>
        <i/>
        <vertAlign val="subscript"/>
        <sz val="11"/>
        <rFont val="Tahoma"/>
        <family val="2"/>
      </rPr>
      <t>psig</t>
    </r>
    <r>
      <rPr>
        <i/>
        <sz val="11"/>
        <rFont val="Tahoma"/>
        <family val="2"/>
      </rPr>
      <t>=</t>
    </r>
  </si>
  <si>
    <r>
      <t>W</t>
    </r>
    <r>
      <rPr>
        <i/>
        <vertAlign val="subscript"/>
        <sz val="11"/>
        <rFont val="Tahoma"/>
        <family val="2"/>
      </rPr>
      <t xml:space="preserve">cv </t>
    </r>
    <r>
      <rPr>
        <i/>
        <sz val="11"/>
        <rFont val="Tahoma"/>
        <family val="2"/>
      </rPr>
      <t>=</t>
    </r>
  </si>
  <si>
    <t>Report Number:</t>
  </si>
  <si>
    <t>It is recommended that LPG provers be adjusted, as close as possible, to the nominal volume at 100 psig. If neither scale is adjustable, a prover volume at 100 psig must be calculated and reported.</t>
  </si>
  <si>
    <t>If the bottom scale is adjustable, adjust the bottom scale:</t>
  </si>
  <si>
    <r>
      <t xml:space="preserve">If the upper and/or lower gauge scale plate is adjustable
perform only </t>
    </r>
    <r>
      <rPr>
        <b/>
        <u val="single"/>
        <sz val="12"/>
        <rFont val="Trebuchet MS"/>
        <family val="2"/>
      </rPr>
      <t>ONE</t>
    </r>
    <r>
      <rPr>
        <b/>
        <sz val="12"/>
        <rFont val="Trebuchet MS"/>
        <family val="2"/>
      </rPr>
      <t xml:space="preserve"> of the following adjustments:</t>
    </r>
  </si>
  <si>
    <t>cm³/ºF</t>
  </si>
  <si>
    <t>Date of Calibration</t>
  </si>
  <si>
    <r>
      <t>ρ</t>
    </r>
    <r>
      <rPr>
        <i/>
        <vertAlign val="subscript"/>
        <sz val="11"/>
        <rFont val="Tahoma"/>
        <family val="2"/>
      </rPr>
      <t>1</t>
    </r>
    <r>
      <rPr>
        <i/>
        <sz val="11"/>
        <rFont val="Tahoma"/>
        <family val="2"/>
      </rPr>
      <t>, ρ</t>
    </r>
    <r>
      <rPr>
        <i/>
        <vertAlign val="subscript"/>
        <sz val="11"/>
        <rFont val="Tahoma"/>
        <family val="2"/>
      </rPr>
      <t>2</t>
    </r>
    <r>
      <rPr>
        <i/>
        <sz val="11"/>
        <rFont val="Tahoma"/>
        <family val="2"/>
      </rPr>
      <t>, …, ρ</t>
    </r>
    <r>
      <rPr>
        <i/>
        <vertAlign val="subscript"/>
        <sz val="11"/>
        <rFont val="Tahoma"/>
        <family val="2"/>
      </rPr>
      <t>N</t>
    </r>
    <r>
      <rPr>
        <i/>
        <sz val="11"/>
        <rFont val="Tahoma"/>
        <family val="2"/>
      </rPr>
      <t xml:space="preserve"> =</t>
    </r>
  </si>
  <si>
    <r>
      <t>Δ</t>
    </r>
    <r>
      <rPr>
        <i/>
        <vertAlign val="subscript"/>
        <sz val="11"/>
        <rFont val="Tahoma"/>
        <family val="2"/>
      </rPr>
      <t>1</t>
    </r>
    <r>
      <rPr>
        <i/>
        <sz val="11"/>
        <rFont val="Tahoma"/>
        <family val="2"/>
      </rPr>
      <t>, Δ</t>
    </r>
    <r>
      <rPr>
        <i/>
        <vertAlign val="subscript"/>
        <sz val="11"/>
        <rFont val="Tahoma"/>
        <family val="2"/>
      </rPr>
      <t>2</t>
    </r>
    <r>
      <rPr>
        <i/>
        <sz val="11"/>
        <rFont val="Tahoma"/>
        <family val="2"/>
      </rPr>
      <t>,…,Δ</t>
    </r>
    <r>
      <rPr>
        <i/>
        <vertAlign val="subscript"/>
        <sz val="11"/>
        <rFont val="Tahoma"/>
        <family val="2"/>
      </rPr>
      <t>N</t>
    </r>
    <r>
      <rPr>
        <i/>
        <sz val="11"/>
        <rFont val="Tahoma"/>
        <family val="2"/>
      </rPr>
      <t xml:space="preserve"> =</t>
    </r>
  </si>
  <si>
    <r>
      <t>t</t>
    </r>
    <r>
      <rPr>
        <i/>
        <vertAlign val="subscript"/>
        <sz val="11"/>
        <rFont val="Tahoma"/>
        <family val="2"/>
      </rPr>
      <t>1</t>
    </r>
    <r>
      <rPr>
        <i/>
        <sz val="11"/>
        <rFont val="Tahoma"/>
        <family val="2"/>
      </rPr>
      <t>, t</t>
    </r>
    <r>
      <rPr>
        <i/>
        <vertAlign val="subscript"/>
        <sz val="11"/>
        <rFont val="Tahoma"/>
        <family val="2"/>
      </rPr>
      <t>2</t>
    </r>
    <r>
      <rPr>
        <i/>
        <sz val="11"/>
        <rFont val="Tahoma"/>
        <family val="2"/>
      </rPr>
      <t>, …, t</t>
    </r>
    <r>
      <rPr>
        <i/>
        <vertAlign val="subscript"/>
        <sz val="11"/>
        <rFont val="Tahoma"/>
        <family val="2"/>
      </rPr>
      <t>N</t>
    </r>
    <r>
      <rPr>
        <i/>
        <sz val="11"/>
        <rFont val="Tahoma"/>
        <family val="2"/>
      </rPr>
      <t xml:space="preserve"> =</t>
    </r>
  </si>
  <si>
    <r>
      <t>t</t>
    </r>
    <r>
      <rPr>
        <i/>
        <vertAlign val="subscript"/>
        <sz val="11"/>
        <rFont val="Tahoma"/>
        <family val="2"/>
      </rPr>
      <t>x</t>
    </r>
    <r>
      <rPr>
        <i/>
        <sz val="11"/>
        <rFont val="Tahoma"/>
        <family val="2"/>
      </rPr>
      <t xml:space="preserve"> =</t>
    </r>
  </si>
  <si>
    <r>
      <t>ρ</t>
    </r>
    <r>
      <rPr>
        <i/>
        <vertAlign val="subscript"/>
        <sz val="11"/>
        <rFont val="Tahoma"/>
        <family val="2"/>
      </rPr>
      <t>x</t>
    </r>
    <r>
      <rPr>
        <i/>
        <sz val="11"/>
        <rFont val="Tahoma"/>
        <family val="2"/>
      </rPr>
      <t xml:space="preserve"> =</t>
    </r>
  </si>
  <si>
    <t>Trial 1 LPG Prover Volume =</t>
  </si>
  <si>
    <t>Trial 2 LPG Prover Volume =</t>
  </si>
  <si>
    <t>Scale Graduations (L)</t>
  </si>
  <si>
    <t>Scale Graduations (mL)</t>
  </si>
  <si>
    <t>Range Mean from CC (in³)</t>
  </si>
  <si>
    <t>Range Mean from CC (L)</t>
  </si>
  <si>
    <t>Range Mean from CC (mL)</t>
  </si>
  <si>
    <t>Nominal Volume (gal)</t>
  </si>
  <si>
    <t>Nominal Volume (L)</t>
  </si>
  <si>
    <t>Uncertainty Evaluation</t>
  </si>
  <si>
    <t>Expanded Uncertainty =</t>
  </si>
  <si>
    <t>Tolerance Evaluation</t>
  </si>
  <si>
    <t>0.2 % of Measured Volume =</t>
  </si>
  <si>
    <t>Nominal volume of the prover in gallons or liters</t>
  </si>
  <si>
    <t>Note:  If lower scale was adjusted, print this form, including calculations sheet,
 drain, rezero, and retest before the Increasing / Decreasing Pressure Test.</t>
  </si>
  <si>
    <t>Volume Error As Found =</t>
  </si>
  <si>
    <t>Volume Error As Left =</t>
  </si>
  <si>
    <r>
      <t>V</t>
    </r>
    <r>
      <rPr>
        <i/>
        <vertAlign val="subscript"/>
        <sz val="11"/>
        <rFont val="Tahoma"/>
        <family val="2"/>
      </rPr>
      <t>XtrefX</t>
    </r>
    <r>
      <rPr>
        <i/>
        <sz val="11"/>
        <rFont val="Tahoma"/>
        <family val="2"/>
      </rPr>
      <t xml:space="preserve"> =</t>
    </r>
  </si>
  <si>
    <r>
      <t>V</t>
    </r>
    <r>
      <rPr>
        <i/>
        <vertAlign val="subscript"/>
        <sz val="11"/>
        <rFont val="Tahoma"/>
        <family val="2"/>
      </rPr>
      <t>StrefS</t>
    </r>
    <r>
      <rPr>
        <i/>
        <sz val="11"/>
        <rFont val="Tahoma"/>
        <family val="2"/>
      </rPr>
      <t xml:space="preserve"> =</t>
    </r>
  </si>
  <si>
    <t>Coefficient of cubical expansion for the standard in its designated units</t>
  </si>
  <si>
    <t>Coefficient of cubical expansion for the unknown vessel in its designated units</t>
  </si>
  <si>
    <t>Temperature of water in the filled unknown vessel in designated units</t>
  </si>
  <si>
    <t>df</t>
  </si>
  <si>
    <t>Volume Standards</t>
  </si>
  <si>
    <t>Standard Water Temperature</t>
  </si>
  <si>
    <t>Criteria: Must agree within 0.02 % of prover nominal volume.</t>
  </si>
  <si>
    <r>
      <t>V</t>
    </r>
    <r>
      <rPr>
        <i/>
        <vertAlign val="subscript"/>
        <sz val="11"/>
        <rFont val="Tahoma"/>
        <family val="2"/>
      </rPr>
      <t xml:space="preserve">XtrefX </t>
    </r>
    <r>
      <rPr>
        <i/>
        <sz val="11"/>
        <rFont val="Tahoma"/>
        <family val="2"/>
      </rPr>
      <t>=</t>
    </r>
  </si>
  <si>
    <r>
      <t>Trial 1 V</t>
    </r>
    <r>
      <rPr>
        <vertAlign val="subscript"/>
        <sz val="10"/>
        <rFont val="Trebuchet MS"/>
        <family val="2"/>
      </rPr>
      <t>XtrefX</t>
    </r>
    <r>
      <rPr>
        <sz val="10"/>
        <rFont val="Trebuchet MS"/>
        <family val="2"/>
      </rPr>
      <t xml:space="preserve"> =</t>
    </r>
  </si>
  <si>
    <r>
      <t>Trial 2 V</t>
    </r>
    <r>
      <rPr>
        <vertAlign val="subscript"/>
        <sz val="10"/>
        <rFont val="Trebuchet MS"/>
        <family val="2"/>
      </rPr>
      <t>XtrefX</t>
    </r>
    <r>
      <rPr>
        <sz val="10"/>
        <rFont val="Trebuchet MS"/>
        <family val="2"/>
      </rPr>
      <t xml:space="preserve"> =</t>
    </r>
  </si>
  <si>
    <t>LPG Prover Volume Determinations At The Designated Reference Temperature</t>
  </si>
  <si>
    <t>LPG Volume Determinations At The Designated Reference Temperature And 100 psig</t>
  </si>
  <si>
    <t>Designated Reference Temperature For This Calibration (ºF)</t>
  </si>
  <si>
    <t>Volume at the Reference Temperature</t>
  </si>
  <si>
    <t>Designated Reference Temperature For This Calibration (ºC)</t>
  </si>
  <si>
    <t>Designated Reference Temperature (ºC) =</t>
  </si>
  <si>
    <t>Prover volume at reference temperature and 0 psig</t>
  </si>
  <si>
    <t>Include a Pressure Correction Table 1 and Chart with your Report of Calibration for the owner/user
to use during their testing of LPG Meters (see the Report spreadsheet).</t>
  </si>
  <si>
    <t>Tolerance =</t>
  </si>
  <si>
    <t>REPORT OF CALIBRATION</t>
  </si>
  <si>
    <t>Issued To:</t>
  </si>
  <si>
    <t>Point of Contact:</t>
  </si>
  <si>
    <t>Purchase Order Number:</t>
  </si>
  <si>
    <t>This is to certify that the information contained in this report is true and correct as of the date of calibration.</t>
  </si>
  <si>
    <t>Date of Issue</t>
  </si>
  <si>
    <t>WSDA Weights and Measures Metrology Laboratory</t>
  </si>
  <si>
    <t>Artifact(s) Description</t>
  </si>
  <si>
    <t>Test Item:</t>
  </si>
  <si>
    <t>Date Received:</t>
  </si>
  <si>
    <t>Specification:</t>
  </si>
  <si>
    <t>Serial Number:</t>
  </si>
  <si>
    <t>Manufacture:</t>
  </si>
  <si>
    <t>Material:</t>
  </si>
  <si>
    <t>Calibration Information</t>
  </si>
  <si>
    <t>Metrologist:</t>
  </si>
  <si>
    <t>Temperature:</t>
  </si>
  <si>
    <t>Procedure:</t>
  </si>
  <si>
    <t>Condition:</t>
  </si>
  <si>
    <t>Water Temperature:</t>
  </si>
  <si>
    <t>Laboratory Reference Standards Used</t>
  </si>
  <si>
    <t>Cert. Number</t>
  </si>
  <si>
    <t>Cal Date</t>
  </si>
  <si>
    <t>Cal Due</t>
  </si>
  <si>
    <t>Pertinent Information</t>
  </si>
  <si>
    <t>● The results listed in this report relate only to the artifacts described and extent of calibrations performed.</t>
  </si>
  <si>
    <t>NIST HB 105-4</t>
  </si>
  <si>
    <t>Calibration Results</t>
  </si>
  <si>
    <t xml:space="preserve">● In-accordance-with ISO/IEC FDIS 17025, General Requirements for the Competence of Testing and Calibration Laboratories, paragraph 5.10.4.4 ‘A calibration certificate (or calibration label) shall not contain any recommendation on the calibration interval except where this has been agreed with the client. This requirement may be superseded by legal regulations.’ </t>
  </si>
  <si>
    <r>
      <t>●</t>
    </r>
    <r>
      <rPr>
        <sz val="7"/>
        <color indexed="8"/>
        <rFont val="Trebuchet MS"/>
        <family val="2"/>
      </rPr>
      <t xml:space="preserve">  </t>
    </r>
    <r>
      <rPr>
        <sz val="10"/>
        <color indexed="8"/>
        <rFont val="Trebuchet MS"/>
        <family val="2"/>
      </rPr>
      <t>In-accordance-with Washington Administrative Code (WAC) Chapter 16-663, Service Agents -- Reporting, Test Procedures, Standards And Calibration Of Weighing And Measuring Devices, Section 16-663-130, Adequacy of standards and submission of standards for certification, paragraph 2, ‘… All standards used for servicing, repairing and/or calibrating commercial weighing and measuring devices must be submitted at least every two years for examination and certification…’</t>
    </r>
  </si>
  <si>
    <t>Material CCE:</t>
  </si>
  <si>
    <t>Job Order #:</t>
  </si>
  <si>
    <t>Start</t>
  </si>
  <si>
    <t>Finish</t>
  </si>
  <si>
    <t>Normal Barometric Pressure for Location of Calibration (mm Hg)</t>
  </si>
  <si>
    <t>Customer ID</t>
  </si>
  <si>
    <t>Date</t>
  </si>
  <si>
    <t>Test Number</t>
  </si>
  <si>
    <t>Start Humidity (% RH)</t>
  </si>
  <si>
    <t>Finish Humidity (% RH)</t>
  </si>
  <si>
    <t>Start Air Temp. (ºC)</t>
  </si>
  <si>
    <t>Finish Air Temp. (ºC)</t>
  </si>
  <si>
    <r>
      <t>Water Temp. (</t>
    </r>
    <r>
      <rPr>
        <sz val="10"/>
        <rFont val="Trebuchet MS"/>
        <family val="2"/>
      </rPr>
      <t>Trial 1</t>
    </r>
    <r>
      <rPr>
        <sz val="11"/>
        <rFont val="Trebuchet MS"/>
        <family val="2"/>
      </rPr>
      <t>) (ºC)</t>
    </r>
  </si>
  <si>
    <r>
      <t>Water Temp. (</t>
    </r>
    <r>
      <rPr>
        <sz val="10"/>
        <rFont val="Trebuchet MS"/>
        <family val="2"/>
      </rPr>
      <t>Trial 2</t>
    </r>
    <r>
      <rPr>
        <sz val="11"/>
        <rFont val="Trebuchet MS"/>
        <family val="2"/>
      </rPr>
      <t>) (ºC)</t>
    </r>
  </si>
  <si>
    <t>Measurement Evaluation</t>
  </si>
  <si>
    <t>Plot on Control Chart</t>
  </si>
  <si>
    <t>Measurement Control Calculation</t>
  </si>
  <si>
    <t>0.02 % of measure Volume =</t>
  </si>
  <si>
    <t xml:space="preserve">Std. Dev. of the Trials = </t>
  </si>
  <si>
    <t>Initials</t>
  </si>
  <si>
    <t>DAW</t>
  </si>
  <si>
    <t>Updated uncertainty analysis to new format.</t>
  </si>
  <si>
    <t>Major revision. Updated to Kragten uncertainty spreadsheet, added tolerances, added metric vessel capability, etc.</t>
  </si>
  <si>
    <t>Updated water density formula to the Patterson/Morris equation.</t>
  </si>
  <si>
    <t>Updated water density formula to the Patterson/Morris equation on the 'Uncertainty Analysis' worksheet.</t>
  </si>
  <si>
    <t>Made suggested changed from NIST, WMD. Revised pressure measurements.</t>
  </si>
  <si>
    <t>Updated uncertainty analysis.</t>
  </si>
  <si>
    <t>Removed unnecessary information on 'NSCV Data Entry' worksheet.</t>
  </si>
  <si>
    <t>Complete revision.</t>
  </si>
  <si>
    <t>Changed reference to ASTM 674 to ASTM 694 on 'Uncertainty Analysis' worksheet.</t>
  </si>
  <si>
    <t>Deleted uncertainty for viscosity and added statement to report of calibration.</t>
  </si>
  <si>
    <t>Deleted note about standard reference temperature.</t>
  </si>
  <si>
    <t>Reformatted standards tables, corrected errors in 'LPG Data Entry' worksheet.</t>
  </si>
  <si>
    <t>Rounded water density formulas to 8 places, revised tolerance evaluation, and revised 'NSCV Data Entry' worksheet.</t>
  </si>
  <si>
    <t>Revised 'NSCV Data Entry' worksheet.</t>
  </si>
  <si>
    <t>Removed 'NSCV Data Entry' worksheet.</t>
  </si>
  <si>
    <t>Color coded data entry cells. Edited all comments.</t>
  </si>
  <si>
    <t>Added Standards Used table on Data Entry worksheet.</t>
  </si>
  <si>
    <t>Standards Used</t>
  </si>
  <si>
    <t>Standard Item ID</t>
  </si>
  <si>
    <t>Report Number</t>
  </si>
  <si>
    <t>Calibration Date</t>
  </si>
  <si>
    <t>Calibration Due</t>
  </si>
  <si>
    <t>NISTIR 7383, SOP 21</t>
  </si>
  <si>
    <t>Range Names</t>
  </si>
  <si>
    <t>No.</t>
  </si>
  <si>
    <t>Added Information worksheet.</t>
  </si>
  <si>
    <t>Validated workbook, file name "WA2009-10-30 WAMRF-014 (Rev. 20), SOP 21 Workbook V&amp;V.pdf". Electronic copies in laboratory computer C:\ drive and agency server H:\ drive and paper copy in laboratory files.</t>
  </si>
  <si>
    <t>_unc1</t>
  </si>
  <si>
    <t>_unc2</t>
  </si>
  <si>
    <t>_unc3</t>
  </si>
  <si>
    <t>_unc4</t>
  </si>
  <si>
    <t>a_1</t>
  </si>
  <si>
    <t>a_2</t>
  </si>
  <si>
    <t>a_3</t>
  </si>
  <si>
    <t>a_4</t>
  </si>
  <si>
    <t>Address_1</t>
  </si>
  <si>
    <t>AirTemp</t>
  </si>
  <si>
    <t>AirTemp_F</t>
  </si>
  <si>
    <t>AsFound</t>
  </si>
  <si>
    <t>=Calculations!$E$64</t>
  </si>
  <si>
    <t>AsLeft</t>
  </si>
  <si>
    <t>Cal_Date</t>
  </si>
  <si>
    <t>Condition</t>
  </si>
  <si>
    <t>CustomerID</t>
  </si>
  <si>
    <t>drops1</t>
  </si>
  <si>
    <t>drops2</t>
  </si>
  <si>
    <t>drops3</t>
  </si>
  <si>
    <t>drops4</t>
  </si>
  <si>
    <t>Humidity</t>
  </si>
  <si>
    <t>Humidity_F</t>
  </si>
  <si>
    <t>increment</t>
  </si>
  <si>
    <t>interval</t>
  </si>
  <si>
    <t>intervalQ</t>
  </si>
  <si>
    <t>k_1</t>
  </si>
  <si>
    <t>k_2</t>
  </si>
  <si>
    <t>k_3</t>
  </si>
  <si>
    <t>k_4</t>
  </si>
  <si>
    <t>MFG</t>
  </si>
  <si>
    <t>mmHg</t>
  </si>
  <si>
    <t>Nom_Val</t>
  </si>
  <si>
    <t>NomValUnit</t>
  </si>
  <si>
    <t>PooledSD</t>
  </si>
  <si>
    <t>Print_Titles</t>
  </si>
  <si>
    <t>ProverTempCorr</t>
  </si>
  <si>
    <t>RefT</t>
  </si>
  <si>
    <t>RefTempUnit</t>
  </si>
  <si>
    <t>Rmean</t>
  </si>
  <si>
    <t>RptNo</t>
  </si>
  <si>
    <t>SealNoBottom</t>
  </si>
  <si>
    <t>SealNoTop</t>
  </si>
  <si>
    <t>SN</t>
  </si>
  <si>
    <t>StdTempCorr</t>
  </si>
  <si>
    <t>t_1</t>
  </si>
  <si>
    <t>t_2</t>
  </si>
  <si>
    <t>Tech</t>
  </si>
  <si>
    <t>Tolerance</t>
  </si>
  <si>
    <t>=Calculations!$E$63</t>
  </si>
  <si>
    <t>=Calculations!$E$21</t>
  </si>
  <si>
    <t>=Calculations!$J$21</t>
  </si>
  <si>
    <t>Unc</t>
  </si>
  <si>
    <t>V_1</t>
  </si>
  <si>
    <t>V_2</t>
  </si>
  <si>
    <t>V_3</t>
  </si>
  <si>
    <t>V_4</t>
  </si>
  <si>
    <t>WODate</t>
  </si>
  <si>
    <t>=Calculations!$E$27</t>
  </si>
  <si>
    <t>=Calculations!$E$28</t>
  </si>
  <si>
    <t>This workbook must be validated after any changes or modifications.</t>
  </si>
  <si>
    <t>Validate all links and ranges after any changes and during annual reviews.</t>
  </si>
  <si>
    <t>This workbook was developed by Dan Wright, Washington State Department of Agriculture Metrology Laboratory. It follows the procedure documented in NISTIR 7383, SOP 21. NIST/WMD has evaluated this spreadsheet and provided useful feedback in its development.</t>
  </si>
  <si>
    <t>Tech Initials</t>
  </si>
  <si>
    <t>NIST HB 105-4 Criteria: The expanded uncertainty for calibration must be less than 0.2 % of the measured volume.</t>
  </si>
  <si>
    <t>NIST HB 105-4 Criteria: Must be capable of repeating within 0.02 % of the test volume.</t>
  </si>
  <si>
    <t>Updated criteria for tolerance and uncertainty evaluations on the "Calculations' sheet to NIST HB 105-4(2010) specifications.</t>
  </si>
  <si>
    <t>Validated workbook, file name "WA2010-03-26 WAMRF-014 (Rev. 21), SOP 21 Workbook V&amp;V.pdf". Electronic copies in laboratory computer C:\ drive and agency server H:\ drive and paper copy in laboratory files.</t>
  </si>
  <si>
    <t>Removed NSCV value. The neck scale either meets the new specification tolerances or it is rejected.</t>
  </si>
  <si>
    <t>Removed '/NSCV' from cell H82 formula on the Data Entry worksheet.</t>
  </si>
  <si>
    <t>minute(s)</t>
  </si>
  <si>
    <t>seconds(s)</t>
  </si>
  <si>
    <t>The prover was drained using:</t>
  </si>
  <si>
    <t>Prover Drain Time/Method</t>
  </si>
  <si>
    <t>Added drain time and drain method data to 'Report Pages 1-3', 'Data Entry', and 'Tables and Lists' worksheets.</t>
  </si>
  <si>
    <t>LPG Prover</t>
  </si>
  <si>
    <t>Job Order Number</t>
  </si>
  <si>
    <t>Instructions</t>
  </si>
  <si>
    <t>Agency IT keeps an additional back up at a remote location</t>
  </si>
  <si>
    <t>Pass</t>
  </si>
  <si>
    <t>Files on network drives cannot be accidentally deleted</t>
  </si>
  <si>
    <t>Agency IT backs up servers weekly</t>
  </si>
  <si>
    <t>Additional back-up is available at alternate facilities</t>
  </si>
  <si>
    <t>Backed up to agency servers weekly</t>
  </si>
  <si>
    <t>Files are backed up automatically</t>
  </si>
  <si>
    <t>State Metrologist and Program Manager only have access</t>
  </si>
  <si>
    <t>Confidentiality of passwords is appropriate</t>
  </si>
  <si>
    <t>Locked and password protected</t>
  </si>
  <si>
    <t>Cells are locked in place; they cannot be moved/dragged</t>
  </si>
  <si>
    <t>Cells are locked and worksheets are password protected</t>
  </si>
  <si>
    <t>Equation and calculation cells are protected against inadvertent editing</t>
  </si>
  <si>
    <t>J. Security</t>
  </si>
  <si>
    <t>No hand calculations were done</t>
  </si>
  <si>
    <t>N/A</t>
  </si>
  <si>
    <t>Hand calculations agree with those generated by the spreadsheet, or if they disagree, the differences are significantly smaller than the reported uncertainty</t>
  </si>
  <si>
    <t>I. Analysis With Out Computer Assistance</t>
  </si>
  <si>
    <t>Evaluated and filed</t>
  </si>
  <si>
    <t>Newer spreadsheets and older spreadsheets agree down to the level of intermediate calculations; this evaluation is dated and documented</t>
  </si>
  <si>
    <t>H. Back-to-Back Testing</t>
  </si>
  <si>
    <t>Records keep in Software Validation folder on computer hard drive</t>
  </si>
  <si>
    <t>The evaluation of the embedded data is dated and documented</t>
  </si>
  <si>
    <t>All embedded data has been validated</t>
  </si>
  <si>
    <t>Embedded data (conversion factors, reference values, etc) is correct</t>
  </si>
  <si>
    <t>G. Embedded Data Evaluation</t>
  </si>
  <si>
    <t>When a master list’s date is updated, the file references (A) an old value, (B) a default value, (C) displays zero or (D) an error message, as desired by the user</t>
  </si>
  <si>
    <t>Linked references have been validated and are up to date</t>
  </si>
  <si>
    <t>Values that reference another workbook or spreadsheet are dated</t>
  </si>
  <si>
    <t>Test on uncertainty worksheet will not allow an uncertainty that is better than the latest published scope</t>
  </si>
  <si>
    <t>Uncertainties match the latest Scope</t>
  </si>
  <si>
    <t>Linked tables are validated and up to date</t>
  </si>
  <si>
    <t>Look-up tables and lists match the latest calibration report.</t>
  </si>
  <si>
    <t>F. Numerical Reference</t>
  </si>
  <si>
    <t>On data entry and calculation worksheets</t>
  </si>
  <si>
    <t>Conditional (color and non-color) formatting is functional</t>
  </si>
  <si>
    <t>Worksheets formatted for printing as necessary</t>
  </si>
  <si>
    <t>Worksheets/reports print properly, if needed to</t>
  </si>
  <si>
    <t>Graphs on uncertainty worksheet display properly</t>
  </si>
  <si>
    <t>Plotted graphs are accurate</t>
  </si>
  <si>
    <t>Combinations of interdependent macros are functional</t>
  </si>
  <si>
    <t>No command buttons</t>
  </si>
  <si>
    <t>Each command/button is functional</t>
  </si>
  <si>
    <t>Each macro used is functional</t>
  </si>
  <si>
    <t>E. Component Testing</t>
  </si>
  <si>
    <t>Where appropriate</t>
  </si>
  <si>
    <t>“Number” cells are locked to a limited number of decimal places; this limit is appropriate to the values being used</t>
  </si>
  <si>
    <t>Formatted correctly throughout workbook</t>
  </si>
  <si>
    <t>Fields, therefore their content, are categorized as “Number” and not “General” when appropriate, and vice versa</t>
  </si>
  <si>
    <t>No issues encountered</t>
  </si>
  <si>
    <t>Calculations are stable as determined by an evaluation that uses large numbers and small differences</t>
  </si>
  <si>
    <t>D. Numerical Stability</t>
  </si>
  <si>
    <t>Water Density and end volume results rounded</t>
  </si>
  <si>
    <t>Rounding is done at the appropriate locations in the file</t>
  </si>
  <si>
    <t xml:space="preserve">Tested using SOP example </t>
  </si>
  <si>
    <t>Calculations, when tested using standard data or reference test data, show appropriate accuracy</t>
  </si>
  <si>
    <t>Calculation worksheet</t>
  </si>
  <si>
    <t>Repeated calculations appropriately reference the correct cells</t>
  </si>
  <si>
    <t>Formulae on calculation worksheet match SOP</t>
  </si>
  <si>
    <t>The formulae in the fields exactly match the SOP</t>
  </si>
  <si>
    <t>C. Code review</t>
  </si>
  <si>
    <t>For Volume II calibrations</t>
  </si>
  <si>
    <t>The chosen SOP, its methods, and its formulae, are appropriate to the level of precision/uncertainty</t>
  </si>
  <si>
    <t>As specified in SOP</t>
  </si>
  <si>
    <t>Sources and references for formulae are specified</t>
  </si>
  <si>
    <t>Volume Transfer method</t>
  </si>
  <si>
    <t>The formulae and methods chosen from that SOP are specified</t>
  </si>
  <si>
    <t>The correct SOP is used</t>
  </si>
  <si>
    <t>B. Mathematical Specification</t>
  </si>
  <si>
    <t>Worksheets are appropriately named</t>
  </si>
  <si>
    <t>Worksheets are named appropriately</t>
  </si>
  <si>
    <t>No unused worksheets</t>
  </si>
  <si>
    <t>Unused sheets are removed</t>
  </si>
  <si>
    <t>No hidden cells or worksheets</t>
  </si>
  <si>
    <t>Rows/columns that the operator need not see are hidden</t>
  </si>
  <si>
    <t>Unused cells are locked and worksheets are protected</t>
  </si>
  <si>
    <t>Unused fields/cells are locked</t>
  </si>
  <si>
    <t>Opens to the Instruction worksheet</t>
  </si>
  <si>
    <t>The software opens at the right location within the file</t>
  </si>
  <si>
    <t>Data entry fields on the workbook template are blank. Instructions tell user to break links before saving after a calibration is performed</t>
  </si>
  <si>
    <t>Data-entry fields are “blank” when opened, preventing loss of old data and ensuring that old data is not used with the current calculations</t>
  </si>
  <si>
    <t>In data validation cells only</t>
  </si>
  <si>
    <t>The user is warned/notified whenever data-entry fields are left blank</t>
  </si>
  <si>
    <t>The number of digits to be rounded to is specified</t>
  </si>
  <si>
    <t>Specified on Uncertainty worksheet</t>
  </si>
  <si>
    <t>The Standard Operating Procedure (SOP) used is clearly specified</t>
  </si>
  <si>
    <t>Light yellow for blank, light blue for non-blank cells</t>
  </si>
  <si>
    <t>Data-entry fields are labeled and color coded (it is recommended to avoid red and green)</t>
  </si>
  <si>
    <t>The workbook opens to the instructions worksheet</t>
  </si>
  <si>
    <t>Instructions and data input appear on the visible portion of the first worksheet</t>
  </si>
  <si>
    <t>Instructions worksheet</t>
  </si>
  <si>
    <t xml:space="preserve">There are instructions for use </t>
  </si>
  <si>
    <t>All worksheet are appropriately named and easy to understand</t>
  </si>
  <si>
    <t>Spreadsheet is clear and makes sense</t>
  </si>
  <si>
    <t>A. Software Inspection</t>
  </si>
  <si>
    <t>Evidence</t>
  </si>
  <si>
    <t>Pass/Fail</t>
  </si>
  <si>
    <t>Assessment</t>
  </si>
  <si>
    <t>Codes</t>
  </si>
  <si>
    <t>Dan Wright</t>
  </si>
  <si>
    <t>Approved By</t>
  </si>
  <si>
    <t>Assessed By</t>
  </si>
  <si>
    <t>Approval Date</t>
  </si>
  <si>
    <t>Software Description</t>
  </si>
  <si>
    <t>Software Technical Assessment</t>
  </si>
  <si>
    <t>SOP 21 in embedded</t>
  </si>
  <si>
    <t>Added Software Technical Assessment and SOP 21 worksheets, renamed Information worksheet to Instructions.</t>
  </si>
  <si>
    <r>
      <t xml:space="preserve">● The artifact is considered in-tolerance when the error is equal to or less than the specified tolerance minus the measurement uncertainty. </t>
    </r>
    <r>
      <rPr>
        <sz val="10"/>
        <color indexed="10"/>
        <rFont val="Trebuchet MS"/>
        <family val="2"/>
      </rPr>
      <t>RED</t>
    </r>
    <r>
      <rPr>
        <sz val="10"/>
        <rFont val="Trebuchet MS"/>
        <family val="2"/>
      </rPr>
      <t xml:space="preserve"> print indicates an out-of-tolerance reading.</t>
    </r>
  </si>
  <si>
    <t>='Tables &amp; Lists'!$D$14:$D$15</t>
  </si>
  <si>
    <t>='Tables &amp; Lists'!$A$5:$B$7</t>
  </si>
  <si>
    <t>JobNo</t>
  </si>
  <si>
    <t>='Tables &amp; Lists'!$A$5:$A$7</t>
  </si>
  <si>
    <t>='Tables &amp; Lists'!$D$17:$D$18</t>
  </si>
  <si>
    <t>='Tables &amp; Lists'!$D$9:$D$12</t>
  </si>
  <si>
    <t>='Tables &amp; Lists'!$D$20:$D$21</t>
  </si>
  <si>
    <t>='Tables &amp; Lists'!$D$4:$D$7</t>
  </si>
  <si>
    <t>=Calculations!$E$62</t>
  </si>
  <si>
    <t>Added FORMAT_CX and ROUND_UNC visual basic modules for rounding results and uncertainties IAW NISTIR 6969, GLP 9 using the FmtCX() and Rnd2() functions.</t>
  </si>
  <si>
    <t>Validated workbook, file name "WA2012-02-13 WAMRF-014 (Rev. 22), SOP 21 Workbook V&amp;V.pdf". Electronic copies in laboratory computer C:\ drive and agency server H:\ drive and paper copy in laboratory files.</t>
  </si>
  <si>
    <t>FORMAT_CX and ROUND_UNC</t>
  </si>
  <si>
    <t>Water Density is rounded to 9 places and the volume correction and uncertainty are rounded according to NISTIR 6969, GLP 9 rounding rules</t>
  </si>
  <si>
    <t>Added SI statement and conversion to the Traceability paragraph on the Report Pages 1-3 spreadsheet.</t>
  </si>
  <si>
    <t>Conversion Factors</t>
  </si>
  <si>
    <r>
      <t xml:space="preserve">From NIST Special Publication 811, </t>
    </r>
    <r>
      <rPr>
        <i/>
        <sz val="10"/>
        <rFont val="Trebuchet MS"/>
        <family val="2"/>
      </rPr>
      <t>Guide for the Use of the International System of Units (SI)</t>
    </r>
  </si>
  <si>
    <r>
      <t xml:space="preserve">Factors in </t>
    </r>
    <r>
      <rPr>
        <b/>
        <sz val="10"/>
        <rFont val="Trebuchet MS"/>
        <family val="2"/>
      </rPr>
      <t>boldface</t>
    </r>
    <r>
      <rPr>
        <sz val="10"/>
        <rFont val="Trebuchet MS"/>
        <family val="2"/>
      </rPr>
      <t xml:space="preserve"> are exact</t>
    </r>
  </si>
  <si>
    <t>To convert from</t>
  </si>
  <si>
    <t>to cubic meter (m³)</t>
  </si>
  <si>
    <t>to</t>
  </si>
  <si>
    <t>gallon (U.S.) (gal)</t>
  </si>
  <si>
    <t>cubic inch (in³)</t>
  </si>
  <si>
    <t>3.875 412 E-03</t>
  </si>
  <si>
    <t>liter (L)</t>
  </si>
  <si>
    <t>1.0 E-03</t>
  </si>
  <si>
    <t>The artifact(s) described in this report have been compared to the Standards of the State of Washington. The Standards of the State of Washington are traceable to the National Institute of Standards and Technology (NIST) and are part of a comprehensive measurement assurance program for ensuring continued accuracy and measurement traceability within the level of uncertainty reported by this laboratory. The International System of Units (SI) for volume is the cubic meter (m³) (see Conversion Factors on page 3). The report number for this report is the only unique report number to be used in referencing measurement traceability for the artifact(s) described in this report.</t>
  </si>
  <si>
    <t>1.638 706 4 E-05</t>
  </si>
  <si>
    <t>multiply by</t>
  </si>
  <si>
    <t>Accreditation Statement</t>
  </si>
  <si>
    <t>Corrected Z60 formula on 'Uncertainty Analysis' worksheet.</t>
  </si>
  <si>
    <t>Fixed conditional formatting in uncertainty test on the 'Calculations' worksheet.</t>
  </si>
  <si>
    <t>Added 'Control Data' worksheet, removed 'Standards' worksheet, reformatted vlookup formulas to global standards workbooks, and revised 'Documentation' worksheet.</t>
  </si>
  <si>
    <t xml:space="preserve">Changed "Certification Statement" to "Accreditation Statement" on Report Pages 1-3 worksheet to be in compliance with NVLAP requirement Annex A, l). </t>
  </si>
  <si>
    <t>Embedded 2012 SOP</t>
  </si>
  <si>
    <t>Increasing / Decreasing Pressure Test</t>
  </si>
  <si>
    <t>Compressibility of Water</t>
  </si>
  <si>
    <t>Compressibility of Water Equations and Calculations</t>
  </si>
  <si>
    <r>
      <t>The Thermal Compressibility of Water (k</t>
    </r>
    <r>
      <rPr>
        <i/>
        <sz val="10"/>
        <rFont val="Trebuchet MS"/>
        <family val="2"/>
      </rPr>
      <t>T</t>
    </r>
    <r>
      <rPr>
        <sz val="10"/>
        <rFont val="Trebuchet MS"/>
        <family val="2"/>
      </rPr>
      <t>) equation is from the article by Frank E. Jones and Georgia L. Harris, "</t>
    </r>
    <r>
      <rPr>
        <i/>
        <sz val="10"/>
        <rFont val="Trebuchet MS"/>
        <family val="2"/>
      </rPr>
      <t>ITS-90 Density of Water Formulation for Volumetric Standards Calibration</t>
    </r>
    <r>
      <rPr>
        <sz val="10"/>
        <rFont val="Trebuchet MS"/>
        <family val="2"/>
      </rPr>
      <t>", as published in the Journal of Research of the National Institution of Standards and Technology, Vol. 97, No. 3, 1992.</t>
    </r>
  </si>
  <si>
    <t>Thermal Compressibility of Water Based on Calibration Location Atmospheric Pressure</t>
  </si>
  <si>
    <t>Thermal compressibility of water in atmospheres (atm)</t>
  </si>
  <si>
    <t>Pascal (Pa) (exactly)</t>
  </si>
  <si>
    <t>Pascal Pa</t>
  </si>
  <si>
    <t>or Pascal (Pa) =</t>
  </si>
  <si>
    <t>Compressibility of Water Versus Pressure Calculations</t>
  </si>
  <si>
    <t>Degrees of Freedom</t>
  </si>
  <si>
    <t>k factor</t>
  </si>
  <si>
    <t>Uncertainty
(ºC)</t>
  </si>
  <si>
    <t>Volume differences between the water level and the reference mark on the standard where the subscripts 1, 2,…,N, represent each delivery as above. If the water level is below the reference line, Δ is negative. If the water level is above the reference line, Δ is positive. If the water level is at the reference line, Δ is zero
NOTE: units must match volume units for the standard</t>
  </si>
  <si>
    <t>NVLAP k factor =</t>
  </si>
  <si>
    <t>kfactor</t>
  </si>
  <si>
    <t>ProverTempk</t>
  </si>
  <si>
    <t>ProverTempU</t>
  </si>
  <si>
    <t>StdTempk</t>
  </si>
  <si>
    <t>StdTempU</t>
  </si>
  <si>
    <t>=Calculations!$E$66</t>
  </si>
  <si>
    <t>Updated water density formula on Calculations worksheet</t>
  </si>
  <si>
    <t>Updated reference to the new water density formula on the Uncertainty Analysis worksheet</t>
  </si>
  <si>
    <t>Added degrees of freedom and best uncertainty k factor to the Data Entry worksheet</t>
  </si>
  <si>
    <t>Updated k factor based on degrees of freedom IAW SOP 29 (2012 edition)</t>
  </si>
  <si>
    <t>Added k factor column to report page 4 and updated uncertainty statement on report page 1-3</t>
  </si>
  <si>
    <t>Validated ranges.</t>
  </si>
  <si>
    <t>Validated workbook, file name "WA2012-06-03 WAMRF-013 (Rev. 23), SOP 21 Workbook V&amp;V.pdf". Electronic copies in laboratory computer C:\ drive and agency server H:\ drive and paper copy in laboratory files.</t>
  </si>
  <si>
    <t>Typical Barometric Pressure at Your Location (mm Hg) =</t>
  </si>
  <si>
    <t>millimeter of mercury (0 ºC) (mm Hg)</t>
  </si>
  <si>
    <t>The prover drain time was:</t>
  </si>
  <si>
    <t>Does the prover have a bottom scale plate?:</t>
  </si>
  <si>
    <t>BottomZero</t>
  </si>
  <si>
    <t>Inserted new WSDA Logo on "Report Pages 1-3" worksheet.</t>
  </si>
  <si>
    <t>Removed GLP Rounding macros</t>
  </si>
  <si>
    <t>Entered new rounding technique and corrected formulas</t>
  </si>
  <si>
    <t>Validated workbook, file name "WA2013-02-18 WAMRF-013 (Rev. 24), SOP 21 Workbook V&amp;V.pdf". Electronic copies in laboratory computer C:\ drive and agency server H:\ drive and paper copy in laboratory files.</t>
  </si>
  <si>
    <t>Validated workbook, file name "WA2013-04-02 WAMRF-014 (Rev. 25), SOP 21 Workbook V&amp;V.pdf". Electronic copies in laboratory computer C:\ drive and agency server H:\ drive and paper copy in laboratory files.</t>
  </si>
  <si>
    <t>Updated the tolerance test formulas and conditional formatting to include the uncertainty on Report Pages 1-3, row 82, Report Page 4-5, cells B5 &amp; C5, Calculations, row 42, cells H45 &amp; H44.</t>
  </si>
  <si>
    <t>NIST HB 105-4 Criteria: The maximum permissible errors shall be ± 0.2 % of the nominal capacity minus the uncertainty.</t>
  </si>
  <si>
    <t>Corrected gallon to cubic meter conversion on line 93 of the Report Pages 1-3 spreadsheet.</t>
  </si>
  <si>
    <t>Cubical Coefficient of Expansion Table
(CCE_Table) &amp;
Material List
(Material.List)</t>
  </si>
  <si>
    <r>
      <t>Combined U (u</t>
    </r>
    <r>
      <rPr>
        <vertAlign val="subscript"/>
        <sz val="11"/>
        <rFont val="Trebuchet MS"/>
        <family val="2"/>
      </rPr>
      <t>c</t>
    </r>
    <r>
      <rPr>
        <sz val="11"/>
        <rFont val="Trebuchet MS"/>
        <family val="2"/>
      </rPr>
      <t>) =</t>
    </r>
  </si>
  <si>
    <r>
      <t>Effective Degrees of Freedom, Welch-Satterthwaite formula, NIST Technical Note 1297, (B-1) (v</t>
    </r>
    <r>
      <rPr>
        <vertAlign val="subscript"/>
        <sz val="11"/>
        <rFont val="Trebuchet MS"/>
        <family val="2"/>
      </rPr>
      <t>eff</t>
    </r>
    <r>
      <rPr>
        <sz val="11"/>
        <rFont val="Trebuchet MS"/>
        <family val="2"/>
      </rPr>
      <t>) =</t>
    </r>
  </si>
  <si>
    <t>k factor =</t>
  </si>
  <si>
    <r>
      <t>Expanded U (u</t>
    </r>
    <r>
      <rPr>
        <vertAlign val="subscript"/>
        <sz val="11"/>
        <rFont val="Trebuchet MS"/>
        <family val="2"/>
      </rPr>
      <t>c</t>
    </r>
    <r>
      <rPr>
        <sz val="11"/>
        <rFont val="Trebuchet MS"/>
        <family val="2"/>
      </rPr>
      <t>*k) =</t>
    </r>
  </si>
  <si>
    <t>NVLAP U =</t>
  </si>
  <si>
    <t>Final k factor =</t>
  </si>
  <si>
    <r>
      <t>Final U (u</t>
    </r>
    <r>
      <rPr>
        <vertAlign val="subscript"/>
        <sz val="11"/>
        <rFont val="Trebuchet MS"/>
        <family val="2"/>
      </rPr>
      <t>c</t>
    </r>
    <r>
      <rPr>
        <sz val="11"/>
        <rFont val="Trebuchet MS"/>
        <family val="2"/>
      </rPr>
      <t>*k) =</t>
    </r>
  </si>
  <si>
    <t>Triangular</t>
  </si>
  <si>
    <t>Rectangular</t>
  </si>
  <si>
    <t>answer_list</t>
  </si>
  <si>
    <t>BestU</t>
  </si>
  <si>
    <t>BestUdf</t>
  </si>
  <si>
    <t>CCE_Table</t>
  </si>
  <si>
    <t>Material_list</t>
  </si>
  <si>
    <t>MeasuredU</t>
  </si>
  <si>
    <t>NomVal_list</t>
  </si>
  <si>
    <t>PO_No</t>
  </si>
  <si>
    <t>POC_Name</t>
  </si>
  <si>
    <t>POC_Phone</t>
  </si>
  <si>
    <t>=Instructions!$5:$6</t>
  </si>
  <si>
    <t>RangeMean_list</t>
  </si>
  <si>
    <t>RefTemp_list</t>
  </si>
  <si>
    <t>Scale_list</t>
  </si>
  <si>
    <t>Scale_Unit</t>
  </si>
  <si>
    <t>U60_1</t>
  </si>
  <si>
    <t>U60_2</t>
  </si>
  <si>
    <t>Z60_1</t>
  </si>
  <si>
    <t>Z60_2</t>
  </si>
  <si>
    <t>Changed all ISBLANK() statements.</t>
  </si>
  <si>
    <t>Redefined uncertainty components, added the Welch-Satterthwaite formula for effective degrees of freedom.</t>
  </si>
  <si>
    <t>Revised the Control Data worksheet</t>
  </si>
  <si>
    <t>Validated links and range names and spell checked.</t>
  </si>
  <si>
    <t>Validated workbook, file name "WA2013-09-01 WAMRF-014 (Rev. 26), SOP 21 Workbook V&amp;V.pdf". Electronic copies in laboratory computer C:\ drive and agency server H:\ drive and paper copy in laboratory files.</t>
  </si>
  <si>
    <t>Control Chart Information</t>
  </si>
  <si>
    <t>Note: Copy and Paste Appropriate Row(s) to Control Chart</t>
  </si>
  <si>
    <t>R-Chart Information</t>
  </si>
  <si>
    <t>Effective Degrees of Freedom =</t>
  </si>
  <si>
    <t>=Calculations!$E$67</t>
  </si>
  <si>
    <t>Eff_df</t>
  </si>
  <si>
    <t>=Calculations!$E$65</t>
  </si>
  <si>
    <t>Linked LPG Data Entry cells F18, H18 &amp; J18 to the YYYY_BEST_UNC workbook.</t>
  </si>
  <si>
    <t>Dan Wright, Program Specialist 3</t>
  </si>
  <si>
    <t>Updated data input and uncertainties in accordance with NISTIR 7383, SOP 21 (2013 edition).</t>
  </si>
  <si>
    <t>Did the Neck Scale Plate Verification pass?</t>
  </si>
  <si>
    <t>Graduation Line Width (mm)</t>
  </si>
  <si>
    <t>Top Neck Inside Dia. (mm)</t>
  </si>
  <si>
    <t>Bottom Neck Inside Dia. (mm)</t>
  </si>
  <si>
    <t>s(p) Degrees of Freedom</t>
  </si>
  <si>
    <t>What is the Calibration Interval (months)?</t>
  </si>
  <si>
    <t>Technician Initials</t>
  </si>
  <si>
    <t>Temp. Standard Used For Volume Standard(s):</t>
  </si>
  <si>
    <t>Temperature Standard Used For Unit-Under-Test:</t>
  </si>
  <si>
    <r>
      <t>Volume of the unknown vessel, V</t>
    </r>
    <r>
      <rPr>
        <vertAlign val="subscript"/>
        <sz val="11"/>
        <rFont val="Trebuchet MS"/>
        <family val="2"/>
      </rPr>
      <t>X</t>
    </r>
    <r>
      <rPr>
        <sz val="11"/>
        <rFont val="Trebuchet MS"/>
        <family val="2"/>
      </rPr>
      <t xml:space="preserve"> at its designated reference temperature, t</t>
    </r>
    <r>
      <rPr>
        <vertAlign val="subscript"/>
        <sz val="11"/>
        <rFont val="Trebuchet MS"/>
        <family val="2"/>
      </rPr>
      <t>refX</t>
    </r>
  </si>
  <si>
    <r>
      <t>Volume of the standard vessel, V</t>
    </r>
    <r>
      <rPr>
        <vertAlign val="subscript"/>
        <sz val="11"/>
        <rFont val="Trebuchet MS"/>
        <family val="2"/>
      </rPr>
      <t>S</t>
    </r>
    <r>
      <rPr>
        <sz val="11"/>
        <rFont val="Trebuchet MS"/>
        <family val="2"/>
      </rPr>
      <t xml:space="preserve"> at its designated reference temperature, t</t>
    </r>
    <r>
      <rPr>
        <vertAlign val="subscript"/>
        <sz val="11"/>
        <rFont val="Trebuchet MS"/>
        <family val="2"/>
      </rPr>
      <t>refS</t>
    </r>
  </si>
  <si>
    <r>
      <t xml:space="preserve">Density of the water in the standard where </t>
    </r>
    <r>
      <rPr>
        <i/>
        <sz val="11"/>
        <rFont val="Trebuchet MS"/>
        <family val="2"/>
      </rPr>
      <t>ρ</t>
    </r>
    <r>
      <rPr>
        <i/>
        <vertAlign val="subscript"/>
        <sz val="11"/>
        <rFont val="Trebuchet MS"/>
        <family val="2"/>
      </rPr>
      <t>1</t>
    </r>
    <r>
      <rPr>
        <sz val="11"/>
        <rFont val="Trebuchet MS"/>
        <family val="2"/>
      </rPr>
      <t xml:space="preserve"> is the density of the water for the first delivery, </t>
    </r>
    <r>
      <rPr>
        <i/>
        <sz val="11"/>
        <rFont val="Trebuchet MS"/>
        <family val="2"/>
      </rPr>
      <t>ρ</t>
    </r>
    <r>
      <rPr>
        <i/>
        <vertAlign val="subscript"/>
        <sz val="11"/>
        <rFont val="Trebuchet MS"/>
        <family val="2"/>
      </rPr>
      <t>2</t>
    </r>
    <r>
      <rPr>
        <sz val="11"/>
        <rFont val="Trebuchet MS"/>
        <family val="2"/>
      </rPr>
      <t xml:space="preserve"> is the density of the water for the second delivery, and so on until all N deliveries are completed using the M. Tanaka, G. Girard, R. Davis, A. Peuto, and N. Bignell equation, Metrologia, 38, 301-309 (2001) as referenced in NISTIR 7383, GLP 10.</t>
    </r>
  </si>
  <si>
    <r>
      <t>Density of water in the prover in g/cm</t>
    </r>
    <r>
      <rPr>
        <vertAlign val="superscript"/>
        <sz val="11"/>
        <rFont val="Trebuchet MS"/>
        <family val="2"/>
      </rPr>
      <t>3</t>
    </r>
  </si>
  <si>
    <t>Identify Components</t>
  </si>
  <si>
    <t>Component</t>
  </si>
  <si>
    <t>Reference</t>
  </si>
  <si>
    <t>s(p)</t>
  </si>
  <si>
    <t>Uncertainty associated with the measurement process from the average range of several sets of measurements, normal distribution, 1s</t>
  </si>
  <si>
    <t>NISTIR 6969, SOP 29, Para. 3.2.1.2. Standard deviation from a set of replicate measurements and NISTIR 6969, Statistical Techniques, paragraphs 8.3 &amp; 8.4, Pooled standard deviation from standard deviation for each set of replicates from a control chart, Type A evaluation</t>
  </si>
  <si>
    <t>u(s)</t>
  </si>
  <si>
    <t>Uncertainty associated with the weights used, normal distribution, k =1</t>
  </si>
  <si>
    <t>Calibration Report divided by the k-factor, Type B Evaluation</t>
  </si>
  <si>
    <t>u(m)</t>
  </si>
  <si>
    <t>Uncertainty associated with reading the meniscus of the standard and unknown vessel, triangular distribution</t>
  </si>
  <si>
    <t xml:space="preserve"> NISTIR 7383, GMP 3, page 4, equation for volume of a cylinder, Type B evaluation</t>
  </si>
  <si>
    <t>u(n)</t>
  </si>
  <si>
    <t>Uncertainty associated with the graduated neck calibration of the standard and unknown vessel, triangular distribution</t>
  </si>
  <si>
    <t>NISTIR 7383, SOP 19, paragraph 2.4.2.7 and SOP 21, paragraph 2.4.3.7, 0.5 % of graduated neck volume (if passes neck scale verification), Type B evaluation</t>
  </si>
  <si>
    <t>u(CCE)</t>
  </si>
  <si>
    <t>Uncertainty of the Cubic Coefficient of Expansion for the vessel material of the standard and the unknown, rectangular distribution</t>
  </si>
  <si>
    <t>EURAMET cg-19, paragraph 5.3.6 5 % to 10 % of CCE</t>
  </si>
  <si>
    <t>u(tw)</t>
  </si>
  <si>
    <t>Uncertainty of the thermometer used for measuring water temperature, rectangular distribution</t>
  </si>
  <si>
    <t>NIST HB 143, Table 11, accurate to ± 0.5 ºC, Type B evaluation</t>
  </si>
  <si>
    <t>Uncertainty Intermediate Calculations</t>
  </si>
  <si>
    <t>Standard Meniscus</t>
  </si>
  <si>
    <t>Neck (mL)</t>
  </si>
  <si>
    <r>
      <t>u(m</t>
    </r>
    <r>
      <rPr>
        <vertAlign val="subscript"/>
        <sz val="11"/>
        <rFont val="Trebuchet MS"/>
        <family val="2"/>
      </rPr>
      <t>S1</t>
    </r>
    <r>
      <rPr>
        <sz val="11"/>
        <rFont val="Trebuchet MS"/>
        <family val="2"/>
      </rPr>
      <t>) =</t>
    </r>
  </si>
  <si>
    <t>Sight Glass (mL)</t>
  </si>
  <si>
    <r>
      <t>u(m</t>
    </r>
    <r>
      <rPr>
        <vertAlign val="subscript"/>
        <sz val="11"/>
        <rFont val="Trebuchet MS"/>
        <family val="2"/>
      </rPr>
      <t>S2</t>
    </r>
    <r>
      <rPr>
        <sz val="11"/>
        <rFont val="Trebuchet MS"/>
        <family val="2"/>
      </rPr>
      <t>) =</t>
    </r>
  </si>
  <si>
    <r>
      <t>u(m</t>
    </r>
    <r>
      <rPr>
        <vertAlign val="subscript"/>
        <sz val="11"/>
        <rFont val="Trebuchet MS"/>
        <family val="2"/>
      </rPr>
      <t>S3</t>
    </r>
    <r>
      <rPr>
        <sz val="11"/>
        <rFont val="Trebuchet MS"/>
        <family val="2"/>
      </rPr>
      <t>) =</t>
    </r>
  </si>
  <si>
    <r>
      <t>u(m</t>
    </r>
    <r>
      <rPr>
        <vertAlign val="subscript"/>
        <sz val="11"/>
        <rFont val="Trebuchet MS"/>
        <family val="2"/>
      </rPr>
      <t>S4</t>
    </r>
    <r>
      <rPr>
        <sz val="11"/>
        <rFont val="Trebuchet MS"/>
        <family val="2"/>
      </rPr>
      <t>) =</t>
    </r>
  </si>
  <si>
    <t>Unknown Meniscus</t>
  </si>
  <si>
    <r>
      <t>u(m</t>
    </r>
    <r>
      <rPr>
        <vertAlign val="subscript"/>
        <sz val="11"/>
        <rFont val="Trebuchet MS"/>
        <family val="2"/>
      </rPr>
      <t>U1</t>
    </r>
    <r>
      <rPr>
        <sz val="11"/>
        <rFont val="Trebuchet MS"/>
        <family val="2"/>
      </rPr>
      <t>) =</t>
    </r>
  </si>
  <si>
    <t>Standard Graduated Neck</t>
  </si>
  <si>
    <r>
      <t>u(n</t>
    </r>
    <r>
      <rPr>
        <vertAlign val="subscript"/>
        <sz val="11"/>
        <rFont val="Trebuchet MS"/>
        <family val="2"/>
      </rPr>
      <t>S1</t>
    </r>
    <r>
      <rPr>
        <sz val="11"/>
        <rFont val="Trebuchet MS"/>
        <family val="2"/>
      </rPr>
      <t>) =</t>
    </r>
  </si>
  <si>
    <r>
      <t>u(n</t>
    </r>
    <r>
      <rPr>
        <vertAlign val="subscript"/>
        <sz val="11"/>
        <rFont val="Trebuchet MS"/>
        <family val="2"/>
      </rPr>
      <t>S2</t>
    </r>
    <r>
      <rPr>
        <sz val="11"/>
        <rFont val="Trebuchet MS"/>
        <family val="2"/>
      </rPr>
      <t>) =</t>
    </r>
  </si>
  <si>
    <r>
      <t>u(n</t>
    </r>
    <r>
      <rPr>
        <vertAlign val="subscript"/>
        <sz val="11"/>
        <rFont val="Trebuchet MS"/>
        <family val="2"/>
      </rPr>
      <t>S3</t>
    </r>
    <r>
      <rPr>
        <sz val="11"/>
        <rFont val="Trebuchet MS"/>
        <family val="2"/>
      </rPr>
      <t>) =</t>
    </r>
  </si>
  <si>
    <r>
      <t>u(n</t>
    </r>
    <r>
      <rPr>
        <vertAlign val="subscript"/>
        <sz val="11"/>
        <rFont val="Trebuchet MS"/>
        <family val="2"/>
      </rPr>
      <t>S4</t>
    </r>
    <r>
      <rPr>
        <sz val="11"/>
        <rFont val="Trebuchet MS"/>
        <family val="2"/>
      </rPr>
      <t>) =</t>
    </r>
  </si>
  <si>
    <t>Standard Coefficient of Expansion</t>
  </si>
  <si>
    <t>Drop # 1</t>
  </si>
  <si>
    <t>Volume [α + u(CCEα)] =</t>
  </si>
  <si>
    <t>Delivered Volume [base value] =</t>
  </si>
  <si>
    <t>Drop # 2</t>
  </si>
  <si>
    <t>Drop # 3</t>
  </si>
  <si>
    <t>Drop # 4</t>
  </si>
  <si>
    <t>Drop # 5</t>
  </si>
  <si>
    <t>Drop # 6</t>
  </si>
  <si>
    <t>Drop # 7</t>
  </si>
  <si>
    <t>Drop # 8</t>
  </si>
  <si>
    <t>Drop # 9</t>
  </si>
  <si>
    <t>Drop # 10</t>
  </si>
  <si>
    <t>Drop # 11</t>
  </si>
  <si>
    <t>Drop # 12</t>
  </si>
  <si>
    <t>Drop # 13</t>
  </si>
  <si>
    <t>Drop # 14</t>
  </si>
  <si>
    <t>Drop # 15</t>
  </si>
  <si>
    <t>Unknown Coefficient of Expansion</t>
  </si>
  <si>
    <t>Volume Trial 1 [β + u(CCEβ)] =</t>
  </si>
  <si>
    <t>Volume Trial 1 [base value] =</t>
  </si>
  <si>
    <r>
      <t>Volume [t + u(tx</t>
    </r>
    <r>
      <rPr>
        <vertAlign val="subscript"/>
        <sz val="11"/>
        <rFont val="Trebuchet MS"/>
        <family val="2"/>
      </rPr>
      <t>S</t>
    </r>
    <r>
      <rPr>
        <sz val="11"/>
        <rFont val="Trebuchet MS"/>
        <family val="2"/>
      </rPr>
      <t>)] =</t>
    </r>
  </si>
  <si>
    <t>Unknown Water Temperature</t>
  </si>
  <si>
    <r>
      <t>Volume  Trial 1[t + u(tx</t>
    </r>
    <r>
      <rPr>
        <vertAlign val="subscript"/>
        <sz val="11"/>
        <rFont val="Trebuchet MS"/>
        <family val="2"/>
      </rPr>
      <t>X</t>
    </r>
    <r>
      <rPr>
        <sz val="11"/>
        <rFont val="Trebuchet MS"/>
        <family val="2"/>
      </rPr>
      <t>)] =</t>
    </r>
  </si>
  <si>
    <t>Quantity, Convert, Combined, Expand &amp; Report</t>
  </si>
  <si>
    <t>Component Description</t>
  </si>
  <si>
    <t>Component Symbol</t>
  </si>
  <si>
    <t>Estimated Uncertainty</t>
  </si>
  <si>
    <t>Units</t>
  </si>
  <si>
    <t>Factor to Normalize</t>
  </si>
  <si>
    <t>% Contribution</t>
  </si>
  <si>
    <t>Process Standard Deviation</t>
  </si>
  <si>
    <r>
      <t>u(m</t>
    </r>
    <r>
      <rPr>
        <vertAlign val="subscript"/>
        <sz val="11"/>
        <rFont val="Trebuchet MS"/>
        <family val="2"/>
      </rPr>
      <t>S</t>
    </r>
    <r>
      <rPr>
        <sz val="11"/>
        <rFont val="Trebuchet MS"/>
        <family val="2"/>
      </rPr>
      <t>)</t>
    </r>
  </si>
  <si>
    <r>
      <t>u(m</t>
    </r>
    <r>
      <rPr>
        <vertAlign val="subscript"/>
        <sz val="11"/>
        <rFont val="Trebuchet MS"/>
        <family val="2"/>
      </rPr>
      <t>U</t>
    </r>
    <r>
      <rPr>
        <sz val="11"/>
        <rFont val="Trebuchet MS"/>
        <family val="2"/>
      </rPr>
      <t>)</t>
    </r>
  </si>
  <si>
    <t>Std Graduated Neck</t>
  </si>
  <si>
    <r>
      <t>u(n</t>
    </r>
    <r>
      <rPr>
        <vertAlign val="subscript"/>
        <sz val="11"/>
        <rFont val="Trebuchet MS"/>
        <family val="2"/>
      </rPr>
      <t>S</t>
    </r>
    <r>
      <rPr>
        <sz val="11"/>
        <rFont val="Trebuchet MS"/>
        <family val="2"/>
      </rPr>
      <t>)</t>
    </r>
  </si>
  <si>
    <t>Ukn Graduated Neck</t>
  </si>
  <si>
    <r>
      <t>u(n</t>
    </r>
    <r>
      <rPr>
        <vertAlign val="subscript"/>
        <sz val="11"/>
        <rFont val="Trebuchet MS"/>
        <family val="2"/>
      </rPr>
      <t>U</t>
    </r>
    <r>
      <rPr>
        <sz val="11"/>
        <rFont val="Trebuchet MS"/>
        <family val="2"/>
      </rPr>
      <t>)</t>
    </r>
  </si>
  <si>
    <t>Std Coefficient of Expansion</t>
  </si>
  <si>
    <t>u(CCEα)</t>
  </si>
  <si>
    <t>Ukn Coefficient of Expansion</t>
  </si>
  <si>
    <t>u(CCEβ)</t>
  </si>
  <si>
    <t>Std Water Temperature</t>
  </si>
  <si>
    <r>
      <t>u(tw</t>
    </r>
    <r>
      <rPr>
        <vertAlign val="subscript"/>
        <sz val="11"/>
        <rFont val="Trebuchet MS"/>
        <family val="2"/>
      </rPr>
      <t>S</t>
    </r>
    <r>
      <rPr>
        <sz val="11"/>
        <rFont val="Trebuchet MS"/>
        <family val="2"/>
      </rPr>
      <t>)</t>
    </r>
  </si>
  <si>
    <t>Ukn Water Temperature</t>
  </si>
  <si>
    <r>
      <t>u(tw</t>
    </r>
    <r>
      <rPr>
        <vertAlign val="subscript"/>
        <sz val="11"/>
        <rFont val="Trebuchet MS"/>
        <family val="2"/>
      </rPr>
      <t>U</t>
    </r>
    <r>
      <rPr>
        <sz val="11"/>
        <rFont val="Trebuchet MS"/>
        <family val="2"/>
      </rPr>
      <t>)</t>
    </r>
  </si>
  <si>
    <t>NVLAP Effective Degrees of Freedom (veff) =</t>
  </si>
  <si>
    <t>Final Effective Degrees of Freedom (veff) =</t>
  </si>
  <si>
    <t/>
  </si>
  <si>
    <t xml:space="preserve"> Volume = VXtrefX - gauge reading</t>
  </si>
  <si>
    <t>ºC</t>
  </si>
  <si>
    <r>
      <t>Uncertainty (u</t>
    </r>
    <r>
      <rPr>
        <vertAlign val="subscript"/>
        <sz val="10"/>
        <rFont val="Trebuchet MS"/>
        <family val="2"/>
      </rPr>
      <t>c</t>
    </r>
    <r>
      <rPr>
        <sz val="10"/>
        <rFont val="Trebuchet MS"/>
        <family val="2"/>
      </rPr>
      <t>*k) =</t>
    </r>
  </si>
  <si>
    <t>Bottom Neck (mL)</t>
  </si>
  <si>
    <t>Top Neck (mL)</t>
  </si>
  <si>
    <t>Pressure Gauge</t>
  </si>
  <si>
    <t>u(psig)</t>
  </si>
  <si>
    <t>Uncertainty associated with the pressure gauge, rectangular distribution</t>
  </si>
  <si>
    <t>NIST HB 105-4, paragraph 3.12.2, 5 psig or smaller graduations (used 2.5 psig for calculation), Type B evaluation</t>
  </si>
  <si>
    <r>
      <t>P</t>
    </r>
    <r>
      <rPr>
        <vertAlign val="subscript"/>
        <sz val="11"/>
        <rFont val="Trebuchet MS"/>
        <family val="2"/>
      </rPr>
      <t>corr</t>
    </r>
    <r>
      <rPr>
        <sz val="11"/>
        <rFont val="Trebuchet MS"/>
        <family val="2"/>
      </rPr>
      <t xml:space="preserve"> @ (100</t>
    </r>
    <r>
      <rPr>
        <vertAlign val="subscript"/>
        <sz val="11"/>
        <rFont val="Trebuchet MS"/>
        <family val="2"/>
      </rPr>
      <t xml:space="preserve">psig </t>
    </r>
    <r>
      <rPr>
        <sz val="11"/>
        <rFont val="Trebuchet MS"/>
        <family val="2"/>
      </rPr>
      <t>+ 2.5</t>
    </r>
    <r>
      <rPr>
        <vertAlign val="subscript"/>
        <sz val="11"/>
        <rFont val="Trebuchet MS"/>
        <family val="2"/>
      </rPr>
      <t>psig</t>
    </r>
    <r>
      <rPr>
        <sz val="11"/>
        <rFont val="Trebuchet MS"/>
        <family val="2"/>
      </rPr>
      <t>) =</t>
    </r>
  </si>
  <si>
    <r>
      <t>Base Value P</t>
    </r>
    <r>
      <rPr>
        <vertAlign val="subscript"/>
        <sz val="11"/>
        <rFont val="Trebuchet MS"/>
        <family val="2"/>
      </rPr>
      <t>corr</t>
    </r>
    <r>
      <rPr>
        <sz val="11"/>
        <rFont val="Trebuchet MS"/>
        <family val="2"/>
      </rPr>
      <t xml:space="preserve"> @ 100</t>
    </r>
    <r>
      <rPr>
        <vertAlign val="subscript"/>
        <sz val="11"/>
        <rFont val="Trebuchet MS"/>
        <family val="2"/>
      </rPr>
      <t>psig</t>
    </r>
    <r>
      <rPr>
        <sz val="11"/>
        <rFont val="Trebuchet MS"/>
        <family val="2"/>
      </rPr>
      <t xml:space="preserve"> =</t>
    </r>
  </si>
  <si>
    <t>Water compressibility correction factor (See SOP 21, paragraph 3.3)</t>
  </si>
  <si>
    <t>Conversion Factors (from NIST SP 811)</t>
  </si>
  <si>
    <t>='Prover Data Entry'!$H$37</t>
  </si>
  <si>
    <t>='Prover Data Entry'!$H$38</t>
  </si>
  <si>
    <t>='Prover Data Entry'!$H$39</t>
  </si>
  <si>
    <t>='Prover Data Entry'!$H$40</t>
  </si>
  <si>
    <t>='Prover Data Entry'!$F$43</t>
  </si>
  <si>
    <t>='Prover Data Entry'!$F$44</t>
  </si>
  <si>
    <t>='Prover Data Entry'!$F$45</t>
  </si>
  <si>
    <t>='Prover Data Entry'!$F$46</t>
  </si>
  <si>
    <t>='Prover Data Entry'!$C$5</t>
  </si>
  <si>
    <t>='Prover Data Entry'!$D$54</t>
  </si>
  <si>
    <t>='Prover Data Entry'!$D$108</t>
  </si>
  <si>
    <t>='Prover Data Entry'!$I$14</t>
  </si>
  <si>
    <t>='Prover Data Entry'!$F$20</t>
  </si>
  <si>
    <t>='Prover Data Entry'!$K$20</t>
  </si>
  <si>
    <t>BestUk</t>
  </si>
  <si>
    <t>='Prover Data Entry'!$I$20</t>
  </si>
  <si>
    <t>Bottom_Neck_id</t>
  </si>
  <si>
    <t>='Prover Data Entry'!$G$15</t>
  </si>
  <si>
    <t>='Prover Data Entry'!$J$85</t>
  </si>
  <si>
    <t>='Prover Data Entry'!$C$22</t>
  </si>
  <si>
    <t>='Prover Data Entry'!$C$16</t>
  </si>
  <si>
    <t>='Prover Data Entry'!$K$4</t>
  </si>
  <si>
    <t>='Prover Data Entry'!$C$10</t>
  </si>
  <si>
    <t>='Prover Data Entry'!$K$19</t>
  </si>
  <si>
    <t>='Prover Data Entry'!$E$37</t>
  </si>
  <si>
    <t>='Prover Data Entry'!$E$38</t>
  </si>
  <si>
    <t>='Prover Data Entry'!$E$39</t>
  </si>
  <si>
    <t>='Prover Data Entry'!$E$40</t>
  </si>
  <si>
    <t>Final_k</t>
  </si>
  <si>
    <t>='Uncertainty Analysis'!$K$107</t>
  </si>
  <si>
    <t>Final_U</t>
  </si>
  <si>
    <t>Final_Veff</t>
  </si>
  <si>
    <t>='Uncertainty Analysis'!$K$106</t>
  </si>
  <si>
    <t>GradNeckVol</t>
  </si>
  <si>
    <t>='Prover Data Entry'!$J$12</t>
  </si>
  <si>
    <t>='Prover Data Entry'!$G$54</t>
  </si>
  <si>
    <t>='Prover Data Entry'!$G$108</t>
  </si>
  <si>
    <t>='Prover Data Entry'!$J$13</t>
  </si>
  <si>
    <t>='Prover Data Entry'!$K$21</t>
  </si>
  <si>
    <t>='Prover Data Entry'!$F$21</t>
  </si>
  <si>
    <t>='Prover Data Entry'!$J$16</t>
  </si>
  <si>
    <t>k</t>
  </si>
  <si>
    <t>='Uncertainty Analysis'!$K$101</t>
  </si>
  <si>
    <t>='Prover Data Entry'!$J$37</t>
  </si>
  <si>
    <t>='Prover Data Entry'!$J$38</t>
  </si>
  <si>
    <t>='Prover Data Entry'!$J$39</t>
  </si>
  <si>
    <t>='Prover Data Entry'!$J$40</t>
  </si>
  <si>
    <t>Line_w</t>
  </si>
  <si>
    <t>='Prover Data Entry'!$K$15</t>
  </si>
  <si>
    <t>='Prover Data Entry'!$C$14</t>
  </si>
  <si>
    <t>='Prover Data Entry'!$C$11</t>
  </si>
  <si>
    <t>='Prover Data Entry'!$J$18</t>
  </si>
  <si>
    <t>='Prover Data Entry'!$C$12</t>
  </si>
  <si>
    <t>='Prover Data Entry'!$A$12</t>
  </si>
  <si>
    <t>='Prover Data Entry'!$I$5</t>
  </si>
  <si>
    <t>='Prover Data Entry'!$I$6</t>
  </si>
  <si>
    <t>='Prover Data Entry'!$I$7</t>
  </si>
  <si>
    <t>='Prover Data Entry'!$F$19</t>
  </si>
  <si>
    <t>='Prover Data Entry'!$F$51</t>
  </si>
  <si>
    <t>='Prover Data Entry'!$J$51</t>
  </si>
  <si>
    <t>='Prover Data Entry'!$H$51</t>
  </si>
  <si>
    <t>='Prover Data Entry'!$J$17</t>
  </si>
  <si>
    <t>='Prover Data Entry'!$A$17</t>
  </si>
  <si>
    <t>='Prover Data Entry'!$I$1</t>
  </si>
  <si>
    <t>='Prover Data Entry'!$E$12</t>
  </si>
  <si>
    <t>='Prover Data Entry'!$I$105</t>
  </si>
  <si>
    <t>='Prover Data Entry'!$D$105</t>
  </si>
  <si>
    <t>='Prover Data Entry'!$J$11</t>
  </si>
  <si>
    <t>Standards_Table_A</t>
  </si>
  <si>
    <t>='Prover Data Entry'!$A$36:$K$40</t>
  </si>
  <si>
    <t>Standards_Table_B</t>
  </si>
  <si>
    <t>='Prover Data Entry'!$A$42:$K$46</t>
  </si>
  <si>
    <t>='Prover Data Entry'!$F$50</t>
  </si>
  <si>
    <t>='Prover Data Entry'!$J$50</t>
  </si>
  <si>
    <t>='Prover Data Entry'!$H$50</t>
  </si>
  <si>
    <t>='Prover Data Entry'!$E$81</t>
  </si>
  <si>
    <t>='Prover Data Entry'!$J$81</t>
  </si>
  <si>
    <t>='Prover Data Entry'!$F$22</t>
  </si>
  <si>
    <t>Top_Neck_id</t>
  </si>
  <si>
    <t>='Prover Data Entry'!$C$15</t>
  </si>
  <si>
    <t>='Prover Data Entry'!$F$37</t>
  </si>
  <si>
    <t>='Prover Data Entry'!$F$38</t>
  </si>
  <si>
    <t>='Prover Data Entry'!$F$39</t>
  </si>
  <si>
    <t>='Prover Data Entry'!$F$40</t>
  </si>
  <si>
    <t>Veff</t>
  </si>
  <si>
    <t>='Uncertainty Analysis'!$K$100</t>
  </si>
  <si>
    <t>='Prover Data Entry'!$J$10</t>
  </si>
  <si>
    <t>Validated range names.</t>
  </si>
  <si>
    <t>Validated range names and spell checked.</t>
  </si>
  <si>
    <r>
      <t xml:space="preserve">The worksheets are password protected. Password is </t>
    </r>
    <r>
      <rPr>
        <sz val="12"/>
        <color indexed="10"/>
        <rFont val="Trebuchet MS"/>
        <family val="2"/>
      </rPr>
      <t>password</t>
    </r>
    <r>
      <rPr>
        <sz val="12"/>
        <rFont val="Trebuchet MS"/>
        <family val="2"/>
      </rPr>
      <t>. You should protect each sheet with your own unique password. Place a password hint here so you don't forget it. Password hint is: "</t>
    </r>
    <r>
      <rPr>
        <sz val="12"/>
        <color indexed="10"/>
        <rFont val="Trebuchet MS"/>
        <family val="2"/>
      </rPr>
      <t>?</t>
    </r>
    <r>
      <rPr>
        <sz val="12"/>
        <rFont val="Trebuchet MS"/>
        <family val="2"/>
      </rPr>
      <t>"</t>
    </r>
  </si>
  <si>
    <t>Modify the report pages with your laboratory and accreditation authority information.</t>
  </si>
  <si>
    <t>Modify the footer information on the report sheets and the header information on all other sheets if you want to use your own form number for the template.</t>
  </si>
  <si>
    <t>Accreditation LOGO</t>
  </si>
  <si>
    <r>
      <t xml:space="preserve">Accredited by the </t>
    </r>
    <r>
      <rPr>
        <sz val="8"/>
        <color indexed="10"/>
        <rFont val="Trebuchet MS"/>
        <family val="2"/>
      </rPr>
      <t>Accreditation Authority</t>
    </r>
    <r>
      <rPr>
        <sz val="8"/>
        <rFont val="Trebuchet MS"/>
        <family val="2"/>
      </rPr>
      <t xml:space="preserve"> for the specific scope of accreditation under lab code XXXXXX-X. This report may not be used to claim product endorsement by </t>
    </r>
    <r>
      <rPr>
        <sz val="8"/>
        <color indexed="10"/>
        <rFont val="Trebuchet MS"/>
        <family val="2"/>
      </rPr>
      <t>Accreditation Authority</t>
    </r>
    <r>
      <rPr>
        <sz val="8"/>
        <rFont val="Trebuchet MS"/>
        <family val="2"/>
      </rPr>
      <t xml:space="preserve"> or any other government agency, and may not be reproduced, except in full, without written approval from the laboratory.</t>
    </r>
  </si>
  <si>
    <r>
      <t xml:space="preserve">Accredited by the </t>
    </r>
    <r>
      <rPr>
        <sz val="10"/>
        <color indexed="10"/>
        <rFont val="Trebuchet MS"/>
        <family val="2"/>
      </rPr>
      <t>Accreditation Authority</t>
    </r>
    <r>
      <rPr>
        <sz val="10"/>
        <rFont val="Trebuchet MS"/>
        <family val="2"/>
      </rPr>
      <t xml:space="preserve"> for the specified scope of accreditation under lab code XXXXXX-X. This laboratory meets the requirements of ISO/IEC 17025 and ANSI/NCSL Z540-1.</t>
    </r>
  </si>
  <si>
    <t>Humidity:</t>
  </si>
  <si>
    <t>NISTIR 7383, SOP 21, Calibration of LPG Provers</t>
  </si>
  <si>
    <t>Adjusted</t>
  </si>
  <si>
    <t>='Prover Data Entry'!$J$97</t>
  </si>
  <si>
    <t>='Uncertainty Analysis'!$K$105</t>
  </si>
  <si>
    <t>='Uncertainty Analysis'!$K$99</t>
  </si>
  <si>
    <t>A negative error means the prover is small
A prover is smaller at temperatures lower than the reference temperature</t>
  </si>
  <si>
    <t>Table 2 - Prover Temperature Correction Chart</t>
  </si>
  <si>
    <t>Validated workbook, file name "WA2014-08-25 WAMRF-014 (Rev. 28), SOP 21 Workbook V&amp;V.pdf". Electronic copies in laboratory computer C:\ drive and agency server H:\ drive and paper copy in laboratory files.</t>
  </si>
  <si>
    <t>Validated workbook, file name "WA2014-06-30 WAMRF-014 (Rev. 27), SOP 21 Workbook V&amp;V.pdf". Electronic copies in laboratory computer C:\ drive and agency server H:\ drive and paper copy in laboratory files.</t>
  </si>
  <si>
    <t>Changed the reference in cell B31 on the Pressure Corrections worksheet from J96 to E102 of the Prover Data Entry worksheet.</t>
  </si>
  <si>
    <t>Changed statistical df from 100 to 10000.</t>
  </si>
  <si>
    <t>WAMRF-014 (Rev. 29), SOP 21 Workbook</t>
  </si>
  <si>
    <t>The combined standard uncertainty includes uncertainties for the standard(s), for the measurement process, for viscosity, for the material cubical coefficient of expansion, for reading meniscus, for the pressure gauge, for graduated neck errors and for the thermometer(s) used for measuring the water temperature. The combined standard uncertainty is multiplied by a coverage factor, k, to give the expanded uncertainty, which defines an interval with a 95.45 % level of confidence. The expanded uncertainty presented in this report is consistent with NIST Technical Note 1297. A component for the effects of viscosity was not included in the uncertainty budget.</t>
  </si>
  <si>
    <t>Deleted viscosity uncertainty, not enough information to analyze this uncertainty.</t>
  </si>
  <si>
    <t>Validated workbook, file name "WA2014-10-22 WAMRF-014 (Rev. 29), SOP 21 Workbook V&amp;V.pdf". Electronic copies in laboratory computer C:\ drive and agency server H:\ drive and paper copy in laboratory files.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</si>
</sst>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000_)"/>
    <numFmt numFmtId="166" formatCode="0.000000_)"/>
    <numFmt numFmtId="167" formatCode=";;"/>
    <numFmt numFmtId="168" formatCode="0.000"/>
    <numFmt numFmtId="169" formatCode="0.000000"/>
    <numFmt numFmtId="170" formatCode="[$-409]mmmm\ d\,\ yyyy;@"/>
    <numFmt numFmtId="171" formatCode="0.000\ 000\ 000"/>
    <numFmt numFmtId="172" formatCode="0.0##\ ###"/>
    <numFmt numFmtId="173" formatCode="[&lt;=9999999]###\-####;\(###\)\ ###\-####"/>
    <numFmt numFmtId="174" formatCode="0.0##\ ###\ ###"/>
    <numFmt numFmtId="175" formatCode="0.0##\ ###\ ###\ ###"/>
    <numFmt numFmtId="176" formatCode="0.000000000000"/>
    <numFmt numFmtId="177" formatCode="###\ ##0"/>
    <numFmt numFmtId="178" formatCode="###\ ##0.0##\ ###\ ###"/>
    <numFmt numFmtId="179" formatCode="#,##0.0##\ ###"/>
    <numFmt numFmtId="180" formatCode="###,##0.0##\ ###\ ###"/>
    <numFmt numFmtId="181" formatCode="0.00000"/>
    <numFmt numFmtId="182" formatCode="0.0##\ ###\ "/>
    <numFmt numFmtId="183" formatCode="0.0%"/>
    <numFmt numFmtId="184" formatCode="0.0##\ ###%"/>
    <numFmt numFmtId="185" formatCode="0.0##\ ###_)"/>
    <numFmt numFmtId="186" formatCode="0.0##\ "/>
    <numFmt numFmtId="187" formatCode="0000"/>
    <numFmt numFmtId="188" formatCode="mm/dd/yyyy"/>
    <numFmt numFmtId="189" formatCode="[$-409]dddd\,\ mmmm\ dd\,\ yyyy"/>
    <numFmt numFmtId="190" formatCode="0.000000E+00"/>
    <numFmt numFmtId="191" formatCode="0.000000000"/>
    <numFmt numFmtId="192" formatCode="0.000\ 000"/>
    <numFmt numFmtId="193" formatCode="0.00000000"/>
    <numFmt numFmtId="194" formatCode="&quot;Yes&quot;;&quot;Yes&quot;;&quot;No&quot;"/>
    <numFmt numFmtId="195" formatCode="&quot;True&quot;;&quot;True&quot;;&quot;False&quot;"/>
    <numFmt numFmtId="196" formatCode="&quot;On&quot;;&quot;On&quot;;&quot;Off&quot;"/>
    <numFmt numFmtId="197" formatCode="[$€-2]\ #,##0.00_);[Red]\([$€-2]\ #,##0.00\)"/>
  </numFmts>
  <fonts count="112">
    <font>
      <sz val="12"/>
      <name val="Helv"/>
      <family val="0"/>
    </font>
    <font>
      <sz val="12"/>
      <color indexed="8"/>
      <name val="Trebuchet MS"/>
      <family val="2"/>
    </font>
    <font>
      <i/>
      <sz val="10"/>
      <name val="Arial"/>
      <family val="2"/>
    </font>
    <font>
      <sz val="10"/>
      <name val="Arial"/>
      <family val="2"/>
    </font>
    <font>
      <sz val="12"/>
      <name val="Times New Roman"/>
      <family val="1"/>
    </font>
    <font>
      <sz val="10"/>
      <name val="Times New Roman"/>
      <family val="1"/>
    </font>
    <font>
      <b/>
      <i/>
      <sz val="12"/>
      <name val="Times New Roman"/>
      <family val="1"/>
    </font>
    <font>
      <sz val="18"/>
      <name val="Arial"/>
      <family val="2"/>
    </font>
    <font>
      <sz val="12"/>
      <name val="Arial"/>
      <family val="2"/>
    </font>
    <font>
      <sz val="10"/>
      <name val="Courier"/>
      <family val="3"/>
    </font>
    <font>
      <sz val="9"/>
      <name val="Tahoma"/>
      <family val="2"/>
    </font>
    <font>
      <sz val="10"/>
      <name val="Tahoma"/>
      <family val="2"/>
    </font>
    <font>
      <sz val="11"/>
      <name val="Times New Roman"/>
      <family val="1"/>
    </font>
    <font>
      <sz val="8"/>
      <name val="Helv"/>
      <family val="0"/>
    </font>
    <font>
      <u val="single"/>
      <sz val="10"/>
      <color indexed="12"/>
      <name val="Arial"/>
      <family val="2"/>
    </font>
    <font>
      <b/>
      <sz val="8"/>
      <color indexed="8"/>
      <name val="Times New Roman"/>
      <family val="1"/>
    </font>
    <font>
      <sz val="8"/>
      <color indexed="8"/>
      <name val="Times New Roman"/>
      <family val="1"/>
    </font>
    <font>
      <u val="single"/>
      <sz val="8"/>
      <color indexed="12"/>
      <name val="Arial"/>
      <family val="2"/>
    </font>
    <font>
      <i/>
      <sz val="11"/>
      <name val="Times New Roman"/>
      <family val="1"/>
    </font>
    <font>
      <sz val="12"/>
      <name val="Trebuchet MS"/>
      <family val="2"/>
    </font>
    <font>
      <b/>
      <sz val="12"/>
      <name val="Trebuchet MS"/>
      <family val="2"/>
    </font>
    <font>
      <sz val="11"/>
      <name val="Trebuchet MS"/>
      <family val="2"/>
    </font>
    <font>
      <sz val="16"/>
      <name val="Trebuchet MS"/>
      <family val="2"/>
    </font>
    <font>
      <sz val="12"/>
      <name val="Tahoma"/>
      <family val="2"/>
    </font>
    <font>
      <sz val="10"/>
      <name val="Trebuchet MS"/>
      <family val="2"/>
    </font>
    <font>
      <sz val="11"/>
      <name val="Tahoma"/>
      <family val="2"/>
    </font>
    <font>
      <i/>
      <sz val="10"/>
      <name val="Trebuchet MS"/>
      <family val="2"/>
    </font>
    <font>
      <vertAlign val="subscript"/>
      <sz val="10"/>
      <name val="Trebuchet MS"/>
      <family val="2"/>
    </font>
    <font>
      <sz val="9"/>
      <name val="Trebuchet MS"/>
      <family val="2"/>
    </font>
    <font>
      <b/>
      <i/>
      <sz val="10"/>
      <name val="Trebuchet MS"/>
      <family val="2"/>
    </font>
    <font>
      <b/>
      <sz val="10"/>
      <name val="Trebuchet MS"/>
      <family val="2"/>
    </font>
    <font>
      <i/>
      <sz val="12"/>
      <name val="Trebuchet MS"/>
      <family val="2"/>
    </font>
    <font>
      <sz val="12"/>
      <color indexed="22"/>
      <name val="Helv"/>
      <family val="0"/>
    </font>
    <font>
      <i/>
      <sz val="11"/>
      <name val="Tahoma"/>
      <family val="2"/>
    </font>
    <font>
      <vertAlign val="superscript"/>
      <sz val="10"/>
      <name val="Trebuchet MS"/>
      <family val="2"/>
    </font>
    <font>
      <sz val="8"/>
      <name val="Trebuchet MS"/>
      <family val="2"/>
    </font>
    <font>
      <b/>
      <i/>
      <sz val="10"/>
      <color indexed="10"/>
      <name val="Trebuchet MS"/>
      <family val="2"/>
    </font>
    <font>
      <sz val="14"/>
      <name val="Trebuchet MS"/>
      <family val="2"/>
    </font>
    <font>
      <sz val="10.5"/>
      <name val="Tahoma"/>
      <family val="2"/>
    </font>
    <font>
      <i/>
      <sz val="10"/>
      <name val="Tahoma"/>
      <family val="2"/>
    </font>
    <font>
      <sz val="8"/>
      <name val="Times New Roman"/>
      <family val="1"/>
    </font>
    <font>
      <vertAlign val="subscript"/>
      <sz val="11"/>
      <name val="Times New Roman"/>
      <family val="1"/>
    </font>
    <font>
      <vertAlign val="superscript"/>
      <sz val="10"/>
      <name val="Tahoma"/>
      <family val="2"/>
    </font>
    <font>
      <b/>
      <i/>
      <sz val="12"/>
      <name val="Trebuchet MS"/>
      <family val="2"/>
    </font>
    <font>
      <sz val="28"/>
      <name val="Webdings"/>
      <family val="1"/>
    </font>
    <font>
      <i/>
      <vertAlign val="subscript"/>
      <sz val="11"/>
      <name val="Tahoma"/>
      <family val="2"/>
    </font>
    <font>
      <b/>
      <u val="single"/>
      <sz val="12"/>
      <name val="Trebuchet MS"/>
      <family val="2"/>
    </font>
    <font>
      <b/>
      <i/>
      <sz val="11"/>
      <name val="Trebuchet MS"/>
      <family val="2"/>
    </font>
    <font>
      <i/>
      <sz val="11"/>
      <name val="Trebuchet MS"/>
      <family val="2"/>
    </font>
    <font>
      <i/>
      <vertAlign val="subscript"/>
      <sz val="11"/>
      <name val="Trebuchet MS"/>
      <family val="2"/>
    </font>
    <font>
      <i/>
      <sz val="14"/>
      <name val="Times New Roman"/>
      <family val="1"/>
    </font>
    <font>
      <b/>
      <sz val="9"/>
      <color indexed="17"/>
      <name val="Lucida Sans Unicode"/>
      <family val="2"/>
    </font>
    <font>
      <sz val="14"/>
      <color indexed="17"/>
      <name val="Lucida Sans Unicode"/>
      <family val="2"/>
    </font>
    <font>
      <sz val="12"/>
      <color indexed="17"/>
      <name val="Lucida Sans Unicode"/>
      <family val="2"/>
    </font>
    <font>
      <b/>
      <i/>
      <sz val="9"/>
      <color indexed="17"/>
      <name val="Trebuchet MS"/>
      <family val="2"/>
    </font>
    <font>
      <b/>
      <i/>
      <sz val="8"/>
      <color indexed="17"/>
      <name val="Trebuchet MS"/>
      <family val="2"/>
    </font>
    <font>
      <sz val="18"/>
      <name val="Trebuchet MS"/>
      <family val="2"/>
    </font>
    <font>
      <b/>
      <u val="single"/>
      <sz val="10"/>
      <name val="Trebuchet MS"/>
      <family val="2"/>
    </font>
    <font>
      <b/>
      <u val="single"/>
      <sz val="11"/>
      <name val="Trebuchet MS"/>
      <family val="2"/>
    </font>
    <font>
      <b/>
      <sz val="11"/>
      <name val="Trebuchet MS"/>
      <family val="2"/>
    </font>
    <font>
      <sz val="10"/>
      <color indexed="8"/>
      <name val="Trebuchet MS"/>
      <family val="2"/>
    </font>
    <font>
      <sz val="7"/>
      <color indexed="8"/>
      <name val="Trebuchet MS"/>
      <family val="2"/>
    </font>
    <font>
      <sz val="14"/>
      <color indexed="8"/>
      <name val="Trebuchet MS"/>
      <family val="2"/>
    </font>
    <font>
      <b/>
      <sz val="8"/>
      <color indexed="10"/>
      <name val="Trebuchet MS"/>
      <family val="2"/>
    </font>
    <font>
      <sz val="10"/>
      <color indexed="10"/>
      <name val="Trebuchet MS"/>
      <family val="2"/>
    </font>
    <font>
      <b/>
      <sz val="9"/>
      <color indexed="60"/>
      <name val="Tahoma"/>
      <family val="2"/>
    </font>
    <font>
      <vertAlign val="subscript"/>
      <sz val="11"/>
      <name val="Trebuchet MS"/>
      <family val="2"/>
    </font>
    <font>
      <sz val="14"/>
      <name val="Tahoma"/>
      <family val="2"/>
    </font>
    <font>
      <sz val="11"/>
      <name val="Arial"/>
      <family val="2"/>
    </font>
    <font>
      <u val="single"/>
      <sz val="11"/>
      <name val="Trebuchet MS"/>
      <family val="2"/>
    </font>
    <font>
      <b/>
      <i/>
      <sz val="11"/>
      <name val="Arial"/>
      <family val="2"/>
    </font>
    <font>
      <vertAlign val="superscript"/>
      <sz val="11"/>
      <name val="Trebuchet MS"/>
      <family val="2"/>
    </font>
    <font>
      <sz val="12"/>
      <color indexed="10"/>
      <name val="Trebuchet MS"/>
      <family val="2"/>
    </font>
    <font>
      <sz val="8"/>
      <color indexed="10"/>
      <name val="Trebuchet MS"/>
      <family val="2"/>
    </font>
    <font>
      <i/>
      <sz val="9"/>
      <name val="Trebuchet MS"/>
      <family val="2"/>
    </font>
    <font>
      <sz val="14.25"/>
      <color indexed="8"/>
      <name val="Tahoma"/>
      <family val="2"/>
    </font>
    <font>
      <sz val="10.5"/>
      <color indexed="8"/>
      <name val="Tahoma"/>
      <family val="2"/>
    </font>
    <font>
      <sz val="10.5"/>
      <color indexed="8"/>
      <name val="Trebuchet MS"/>
      <family val="2"/>
    </font>
    <font>
      <sz val="14.5"/>
      <color indexed="8"/>
      <name val="Arial"/>
      <family val="2"/>
    </font>
    <font>
      <sz val="12"/>
      <color indexed="8"/>
      <name val="Tahoma"/>
      <family val="2"/>
    </font>
    <font>
      <sz val="12"/>
      <color indexed="9"/>
      <name val="Trebuchet MS"/>
      <family val="2"/>
    </font>
    <font>
      <sz val="12"/>
      <color indexed="20"/>
      <name val="Trebuchet MS"/>
      <family val="2"/>
    </font>
    <font>
      <b/>
      <sz val="12"/>
      <color indexed="52"/>
      <name val="Trebuchet MS"/>
      <family val="2"/>
    </font>
    <font>
      <b/>
      <sz val="12"/>
      <color indexed="9"/>
      <name val="Trebuchet MS"/>
      <family val="2"/>
    </font>
    <font>
      <i/>
      <sz val="12"/>
      <color indexed="23"/>
      <name val="Trebuchet MS"/>
      <family val="2"/>
    </font>
    <font>
      <sz val="12"/>
      <color indexed="17"/>
      <name val="Trebuchet MS"/>
      <family val="2"/>
    </font>
    <font>
      <b/>
      <sz val="11"/>
      <color indexed="62"/>
      <name val="Trebuchet MS"/>
      <family val="2"/>
    </font>
    <font>
      <sz val="12"/>
      <color indexed="62"/>
      <name val="Trebuchet MS"/>
      <family val="2"/>
    </font>
    <font>
      <sz val="12"/>
      <color indexed="52"/>
      <name val="Trebuchet MS"/>
      <family val="2"/>
    </font>
    <font>
      <sz val="12"/>
      <color indexed="60"/>
      <name val="Trebuchet MS"/>
      <family val="2"/>
    </font>
    <font>
      <b/>
      <sz val="12"/>
      <color indexed="63"/>
      <name val="Trebuchet MS"/>
      <family val="2"/>
    </font>
    <font>
      <b/>
      <sz val="18"/>
      <color indexed="62"/>
      <name val="Cambria"/>
      <family val="2"/>
    </font>
    <font>
      <sz val="11"/>
      <color indexed="9"/>
      <name val="Arial"/>
      <family val="2"/>
    </font>
    <font>
      <sz val="10"/>
      <color indexed="9"/>
      <name val="Trebuchet MS"/>
      <family val="2"/>
    </font>
    <font>
      <sz val="12"/>
      <color theme="1"/>
      <name val="Trebuchet MS"/>
      <family val="2"/>
    </font>
    <font>
      <sz val="12"/>
      <color theme="0"/>
      <name val="Trebuchet MS"/>
      <family val="2"/>
    </font>
    <font>
      <sz val="12"/>
      <color rgb="FF9C0006"/>
      <name val="Trebuchet MS"/>
      <family val="2"/>
    </font>
    <font>
      <b/>
      <sz val="12"/>
      <color rgb="FFFA7D00"/>
      <name val="Trebuchet MS"/>
      <family val="2"/>
    </font>
    <font>
      <b/>
      <sz val="12"/>
      <color theme="0"/>
      <name val="Trebuchet MS"/>
      <family val="2"/>
    </font>
    <font>
      <i/>
      <sz val="12"/>
      <color rgb="FF7F7F7F"/>
      <name val="Trebuchet MS"/>
      <family val="2"/>
    </font>
    <font>
      <sz val="12"/>
      <color rgb="FF006100"/>
      <name val="Trebuchet MS"/>
      <family val="2"/>
    </font>
    <font>
      <b/>
      <sz val="11"/>
      <color theme="3"/>
      <name val="Trebuchet MS"/>
      <family val="2"/>
    </font>
    <font>
      <sz val="12"/>
      <color rgb="FF3F3F76"/>
      <name val="Trebuchet MS"/>
      <family val="2"/>
    </font>
    <font>
      <sz val="12"/>
      <color rgb="FFFA7D00"/>
      <name val="Trebuchet MS"/>
      <family val="2"/>
    </font>
    <font>
      <sz val="12"/>
      <color rgb="FF9C6500"/>
      <name val="Trebuchet MS"/>
      <family val="2"/>
    </font>
    <font>
      <b/>
      <sz val="12"/>
      <color rgb="FF3F3F3F"/>
      <name val="Trebuchet MS"/>
      <family val="2"/>
    </font>
    <font>
      <b/>
      <sz val="18"/>
      <color theme="3"/>
      <name val="Cambria"/>
      <family val="2"/>
    </font>
    <font>
      <sz val="12"/>
      <color rgb="FFFF0000"/>
      <name val="Trebuchet MS"/>
      <family val="2"/>
    </font>
    <font>
      <sz val="11"/>
      <color theme="0"/>
      <name val="Arial"/>
      <family val="2"/>
    </font>
    <font>
      <sz val="10"/>
      <color theme="0"/>
      <name val="Trebuchet MS"/>
      <family val="2"/>
    </font>
    <font>
      <sz val="12"/>
      <color rgb="FF000000"/>
      <name val="Trebuchet MS"/>
      <family val="2"/>
    </font>
    <font>
      <b/>
      <sz val="8"/>
      <name val="Helv"/>
      <family val="2"/>
    </font>
  </fonts>
  <fills count="269">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7"/>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indexed="51"/>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theme="2"/>
        <bgColor indexed="64"/>
      </patternFill>
    </fill>
    <fill>
      <gradientFill degree="90">
        <stop position="0">
          <color theme="0"/>
        </stop>
        <stop position="1">
          <color theme="6" tint="-0.2509700059890747"/>
        </stop>
      </gradientFill>
    </fill>
    <fill>
      <gradientFill degree="90">
        <stop position="0">
          <color theme="0"/>
        </stop>
        <stop position="1">
          <color theme="6" tint="-0.2509700059890747"/>
        </stop>
      </gradientFill>
    </fill>
    <fill>
      <gradientFill degree="90">
        <stop position="0">
          <color theme="0"/>
        </stop>
        <stop position="1">
          <color theme="6" tint="-0.2509700059890747"/>
        </stop>
      </gradientFill>
    </fill>
    <fill>
      <gradientFill degree="90">
        <stop position="0">
          <color theme="0"/>
        </stop>
        <stop position="1">
          <color theme="6" tint="-0.2509700059890747"/>
        </stop>
      </gradientFill>
    </fill>
    <fill>
      <gradientFill degree="90">
        <stop position="0">
          <color theme="0"/>
        </stop>
        <stop position="1">
          <color theme="5" tint="0.40000998973846436"/>
        </stop>
      </gradientFill>
    </fill>
    <fill>
      <gradientFill degree="90">
        <stop position="0">
          <color theme="0"/>
        </stop>
        <stop position="1">
          <color theme="5" tint="0.40000998973846436"/>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patternFill patternType="solid">
        <fgColor indexed="22"/>
        <bgColor indexed="64"/>
      </patternFill>
    </fill>
    <fill>
      <patternFill patternType="solid">
        <fgColor theme="0" tint="-0.1499900072813034"/>
        <bgColor indexed="64"/>
      </patternFill>
    </fill>
    <fill>
      <gradientFill>
        <stop position="0">
          <color theme="0"/>
        </stop>
        <stop position="1">
          <color theme="6" tint="-0.2509700059890747"/>
        </stop>
      </gradientFill>
    </fill>
    <fill>
      <gradientFill>
        <stop position="0">
          <color theme="0"/>
        </stop>
        <stop position="1">
          <color theme="9" tint="-0.2509700059890747"/>
        </stop>
      </gradientFill>
    </fill>
    <fill>
      <gradientFill>
        <stop position="0">
          <color theme="0"/>
        </stop>
        <stop position="1">
          <color theme="8" tint="-0.2509700059890747"/>
        </stop>
      </gradientFill>
    </fill>
    <fill>
      <gradientFill>
        <stop position="0">
          <color theme="0"/>
        </stop>
        <stop position="1">
          <color theme="1" tint="0.1490200012922287"/>
        </stop>
      </gradientFill>
    </fill>
    <fill>
      <gradientFill>
        <stop position="0">
          <color theme="0"/>
        </stop>
        <stop position="1">
          <color theme="7" tint="-0.2509700059890747"/>
        </stop>
      </gradientFill>
    </fill>
    <fill>
      <gradientFill degree="90">
        <stop position="0">
          <color theme="0"/>
        </stop>
        <stop position="1">
          <color theme="5" tint="-0.2509700059890747"/>
        </stop>
      </gradientFill>
    </fill>
    <fill>
      <gradientFill degree="90">
        <stop position="0">
          <color theme="0"/>
        </stop>
        <stop position="1">
          <color theme="3" tint="0.40000998973846436"/>
        </stop>
      </gradientFill>
    </fill>
    <fill>
      <gradientFill>
        <stop position="0">
          <color theme="0"/>
        </stop>
        <stop position="1">
          <color rgb="FF002060"/>
        </stop>
      </gradientFill>
    </fill>
    <fill>
      <gradientFill>
        <stop position="0">
          <color theme="0"/>
        </stop>
        <stop position="1">
          <color theme="6" tint="-0.2509700059890747"/>
        </stop>
      </gradientFill>
    </fill>
    <fill>
      <gradientFill>
        <stop position="0">
          <color theme="0"/>
        </stop>
        <stop position="1">
          <color theme="9" tint="-0.2509700059890747"/>
        </stop>
      </gradientFill>
    </fill>
    <fill>
      <gradientFill>
        <stop position="0">
          <color theme="0"/>
        </stop>
        <stop position="1">
          <color theme="8" tint="-0.2509700059890747"/>
        </stop>
      </gradientFill>
    </fill>
    <fill>
      <gradientFill>
        <stop position="0">
          <color theme="0"/>
        </stop>
        <stop position="1">
          <color theme="1" tint="0.1490200012922287"/>
        </stop>
      </gradientFill>
    </fill>
    <fill>
      <gradientFill>
        <stop position="0">
          <color theme="0"/>
        </stop>
        <stop position="1">
          <color theme="7" tint="-0.2509700059890747"/>
        </stop>
      </gradientFill>
    </fill>
    <fill>
      <gradientFill degree="90">
        <stop position="0">
          <color theme="0"/>
        </stop>
        <stop position="1">
          <color theme="3" tint="0.40000998973846436"/>
        </stop>
      </gradientFill>
    </fill>
    <fill>
      <gradientFill>
        <stop position="0">
          <color theme="0"/>
        </stop>
        <stop position="1">
          <color rgb="FF002060"/>
        </stop>
      </gradientFill>
    </fill>
    <fill>
      <gradientFill>
        <stop position="0">
          <color theme="0"/>
        </stop>
        <stop position="1">
          <color theme="8" tint="-0.2509700059890747"/>
        </stop>
      </gradientFill>
    </fill>
    <fill>
      <gradientFill>
        <stop position="0">
          <color theme="0"/>
        </stop>
        <stop position="1">
          <color theme="1" tint="0.1490200012922287"/>
        </stop>
      </gradientFill>
    </fill>
    <fill>
      <gradientFill>
        <stop position="0">
          <color theme="0"/>
        </stop>
        <stop position="1">
          <color theme="7" tint="-0.2509700059890747"/>
        </stop>
      </gradientFill>
    </fill>
    <fill>
      <gradientFill>
        <stop position="0">
          <color theme="0"/>
        </stop>
        <stop position="1">
          <color theme="9" tint="-0.2509700059890747"/>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rgb="FFFFFF66"/>
        </stop>
      </gradientFill>
    </fill>
    <fill>
      <gradientFill degree="90">
        <stop position="0">
          <color theme="0"/>
        </stop>
        <stop position="1">
          <color rgb="FFFFFF66"/>
        </stop>
      </gradientFill>
    </fill>
    <fill>
      <gradientFill degree="90">
        <stop position="0">
          <color theme="0"/>
        </stop>
        <stop position="1">
          <color rgb="FFFFFF66"/>
        </stop>
      </gradientFill>
    </fill>
    <fill>
      <gradientFill degree="90">
        <stop position="0">
          <color theme="0"/>
        </stop>
        <stop position="1">
          <color rgb="FFFFFF66"/>
        </stop>
      </gradientFill>
    </fill>
    <fill>
      <gradientFill degree="90">
        <stop position="0">
          <color theme="0"/>
        </stop>
        <stop position="1">
          <color rgb="FFFFFF66"/>
        </stop>
      </gradientFill>
    </fill>
    <fill>
      <gradientFill degree="90">
        <stop position="0">
          <color theme="0"/>
        </stop>
        <stop position="1">
          <color theme="5" tint="-0.2509700059890747"/>
        </stop>
      </gradientFill>
    </fill>
    <fill>
      <patternFill patternType="solid">
        <fgColor theme="0"/>
        <bgColor indexed="64"/>
      </patternFill>
    </fill>
    <fill>
      <gradientFill degree="90">
        <stop position="0">
          <color theme="0"/>
        </stop>
        <stop position="1">
          <color theme="2" tint="-0.4980199933052063"/>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3" tint="0.40000998973846436"/>
        </stop>
      </gradientFill>
    </fill>
    <fill>
      <gradientFill degree="90">
        <stop position="0">
          <color theme="0"/>
        </stop>
        <stop position="1">
          <color theme="8" tint="0.40000998973846436"/>
        </stop>
      </gradientFill>
    </fill>
    <fill>
      <patternFill patternType="solid">
        <fgColor theme="0"/>
        <bgColor indexed="64"/>
      </pattern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patternFill patternType="solid">
        <fgColor rgb="FFEAF1DD"/>
        <bgColor indexed="64"/>
      </patternFill>
    </fill>
    <fill>
      <gradientFill degree="90">
        <stop position="0">
          <color theme="0"/>
        </stop>
        <stop position="1">
          <color rgb="FF92D050"/>
        </stop>
      </gradientFill>
    </fill>
    <fill>
      <gradientFill degree="90">
        <stop position="0">
          <color theme="0"/>
        </stop>
        <stop position="1">
          <color rgb="FF92D050"/>
        </stop>
      </gradientFill>
    </fill>
    <fill>
      <gradientFill degree="90">
        <stop position="0">
          <color theme="0"/>
        </stop>
        <stop position="1">
          <color rgb="FF92D050"/>
        </stop>
      </gradientFill>
    </fill>
    <fill>
      <gradientFill degree="90">
        <stop position="0">
          <color theme="0"/>
        </stop>
        <stop position="1">
          <color rgb="FF92D050"/>
        </stop>
      </gradientFill>
    </fill>
    <fill>
      <gradientFill degree="90">
        <stop position="0">
          <color theme="0"/>
        </stop>
        <stop position="1">
          <color rgb="FF92D050"/>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rgb="FFFF0000"/>
        </stop>
      </gradientFill>
    </fill>
    <fill>
      <gradientFill degree="90">
        <stop position="0">
          <color theme="0"/>
        </stop>
        <stop position="1">
          <color rgb="FFFF0000"/>
        </stop>
      </gradientFill>
    </fill>
    <fill>
      <gradientFill degree="90">
        <stop position="0">
          <color theme="0"/>
        </stop>
        <stop position="1">
          <color rgb="FF00B050"/>
        </stop>
      </gradientFill>
    </fill>
    <fill>
      <gradientFill degree="90">
        <stop position="0">
          <color theme="0"/>
        </stop>
        <stop position="1">
          <color rgb="FF00B050"/>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3" tint="0.40000998973846436"/>
        </stop>
      </gradientFill>
    </fill>
    <fill>
      <gradientFill degree="90">
        <stop position="0">
          <color theme="0"/>
        </stop>
        <stop position="1">
          <color theme="3" tint="0.40000998973846436"/>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rgb="FF00B050"/>
        </stop>
      </gradientFill>
    </fill>
    <fill>
      <gradientFill degree="90">
        <stop position="0">
          <color theme="0"/>
        </stop>
        <stop position="1">
          <color rgb="FF00B050"/>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rgb="FFFFFF99"/>
        </stop>
      </gradientFill>
    </fill>
    <fill>
      <gradientFill degree="90">
        <stop position="0">
          <color theme="0"/>
        </stop>
        <stop position="1">
          <color rgb="FFFFFF99"/>
        </stop>
      </gradientFill>
    </fill>
    <fill>
      <gradientFill degree="90">
        <stop position="0">
          <color theme="0"/>
        </stop>
        <stop position="1">
          <color rgb="FFFFFF99"/>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8" tint="0.40000998973846436"/>
        </stop>
      </gradientFill>
    </fill>
    <fill>
      <gradientFill degree="90">
        <stop position="0">
          <color theme="0"/>
        </stop>
        <stop position="1">
          <color theme="8" tint="0.40000998973846436"/>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6" tint="0.40000998973846436"/>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stop position="0">
          <color theme="0"/>
        </stop>
        <stop position="1">
          <color theme="2" tint="-0.4980199933052063"/>
        </stop>
      </gradientFill>
    </fill>
    <fill>
      <gradientFill>
        <stop position="0">
          <color theme="0"/>
        </stop>
        <stop position="1">
          <color theme="2" tint="-0.4980199933052063"/>
        </stop>
      </gradientFill>
    </fill>
    <fill>
      <gradientFill>
        <stop position="0">
          <color theme="0"/>
        </stop>
        <stop position="1">
          <color theme="2" tint="-0.4980199933052063"/>
        </stop>
      </gradientFill>
    </fill>
    <fill>
      <gradientFill>
        <stop position="0">
          <color theme="0"/>
        </stop>
        <stop position="1">
          <color theme="2" tint="-0.4980199933052063"/>
        </stop>
      </gradientFill>
    </fill>
    <fill>
      <gradientFill>
        <stop position="0">
          <color theme="0"/>
        </stop>
        <stop position="1">
          <color theme="2" tint="-0.4980199933052063"/>
        </stop>
      </gradientFill>
    </fill>
    <fill>
      <gradientFill>
        <stop position="0">
          <color theme="0"/>
        </stop>
        <stop position="1">
          <color theme="2" tint="-0.4980199933052063"/>
        </stop>
      </gradientFill>
    </fill>
    <fill>
      <gradientFill degree="90">
        <stop position="0">
          <color theme="0"/>
        </stop>
        <stop position="1">
          <color theme="6" tint="-0.2509700059890747"/>
        </stop>
      </gradient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24"/>
      </top>
      <bottom/>
    </border>
    <border>
      <left/>
      <right/>
      <top/>
      <bottom style="medium"/>
    </border>
    <border>
      <left style="thin"/>
      <right style="hair"/>
      <top style="hair"/>
      <bottom style="hair"/>
    </border>
    <border>
      <left/>
      <right/>
      <top style="medium"/>
      <bottom/>
    </border>
    <border>
      <left style="hair"/>
      <right style="hair"/>
      <top/>
      <bottom style="hair"/>
    </border>
    <border>
      <left style="hair"/>
      <right/>
      <top/>
      <bottom style="hair"/>
    </border>
    <border>
      <left style="thin"/>
      <right style="hair"/>
      <top/>
      <bottom style="hair"/>
    </border>
    <border>
      <left/>
      <right/>
      <top/>
      <bottom style="dotted"/>
    </border>
    <border>
      <left style="thin"/>
      <right style="hair"/>
      <top style="hair"/>
      <bottom/>
    </border>
    <border>
      <left/>
      <right/>
      <top style="thin"/>
      <bottom style="medium"/>
    </border>
    <border>
      <left style="hair"/>
      <right style="thin"/>
      <top/>
      <bottom style="hair"/>
    </border>
    <border>
      <left/>
      <right style="thin"/>
      <top style="thin"/>
      <bottom style="medium"/>
    </border>
    <border>
      <left/>
      <right style="hair"/>
      <top/>
      <bottom style="hair"/>
    </border>
    <border>
      <left style="hair"/>
      <right style="hair"/>
      <top style="hair"/>
      <bottom style="hair"/>
    </border>
    <border>
      <left/>
      <right style="hair"/>
      <top style="hair"/>
      <bottom style="hair"/>
    </border>
    <border>
      <left style="hair"/>
      <right style="thin"/>
      <top style="hair"/>
      <bottom style="hair"/>
    </border>
    <border>
      <left/>
      <right/>
      <top/>
      <bottom style="thin"/>
    </border>
    <border>
      <left style="hair"/>
      <right style="hair"/>
      <top style="medium"/>
      <bottom style="hair"/>
    </border>
    <border>
      <left style="thin"/>
      <right style="hair"/>
      <top/>
      <bottom style="thin"/>
    </border>
    <border>
      <left style="hair"/>
      <right style="hair"/>
      <top/>
      <bottom style="thin"/>
    </border>
    <border>
      <left/>
      <right/>
      <top style="hair"/>
      <bottom/>
    </border>
    <border>
      <left/>
      <right/>
      <top style="thin"/>
      <bottom style="hair"/>
    </border>
    <border>
      <left style="hair"/>
      <right style="hair"/>
      <top style="hair"/>
      <bottom/>
    </border>
    <border>
      <left style="hair"/>
      <right/>
      <top/>
      <bottom/>
    </border>
    <border>
      <left style="thin"/>
      <right style="thin"/>
      <top/>
      <bottom style="thin"/>
    </border>
    <border>
      <left style="thin"/>
      <right/>
      <top/>
      <bottom style="thin"/>
    </border>
    <border>
      <left style="thin"/>
      <right style="thin"/>
      <top/>
      <bottom/>
    </border>
    <border>
      <left style="thin"/>
      <right/>
      <top/>
      <bottom/>
    </border>
    <border>
      <left style="thin"/>
      <right style="thin"/>
      <top style="thin"/>
      <bottom/>
    </border>
    <border>
      <left style="thin"/>
      <right/>
      <top style="thin"/>
      <bottom/>
    </border>
    <border>
      <left style="thin"/>
      <right style="thin"/>
      <top style="thin"/>
      <bottom style="thin"/>
    </border>
    <border>
      <left style="thin"/>
      <right/>
      <top style="thin"/>
      <bottom style="thin"/>
    </border>
    <border>
      <left style="thin"/>
      <right>
        <color indexed="63"/>
      </right>
      <top style="medium"/>
      <bottom style="thin"/>
    </border>
    <border>
      <left/>
      <right/>
      <top style="medium"/>
      <bottom style="thin"/>
    </border>
    <border>
      <left/>
      <right style="thin"/>
      <top style="medium"/>
      <bottom style="thin"/>
    </border>
    <border>
      <left/>
      <right/>
      <top style="thin"/>
      <bottom style="thin"/>
    </border>
    <border>
      <left/>
      <right style="thin"/>
      <top style="thin"/>
      <bottom style="thin"/>
    </border>
    <border>
      <left style="hair"/>
      <right/>
      <top style="medium"/>
      <bottom style="hair"/>
    </border>
    <border>
      <left style="hair"/>
      <right/>
      <top style="hair"/>
      <bottom style="hair"/>
    </border>
    <border>
      <left style="hair"/>
      <right style="hair"/>
      <top style="thin"/>
      <bottom style="thin"/>
    </border>
    <border>
      <left style="hair"/>
      <right style="thin"/>
      <top style="thin"/>
      <bottom style="thin"/>
    </border>
    <border>
      <left style="hair"/>
      <right/>
      <top style="medium"/>
      <bottom style="thin"/>
    </border>
    <border>
      <left/>
      <right style="hair"/>
      <top style="thin"/>
      <bottom style="thin"/>
    </border>
    <border>
      <left style="hair"/>
      <right/>
      <top style="hair"/>
      <bottom/>
    </border>
    <border>
      <left/>
      <right/>
      <top style="hair"/>
      <bottom style="hair"/>
    </border>
    <border>
      <left style="hair"/>
      <right style="hair"/>
      <top style="medium"/>
      <bottom style="thin"/>
    </border>
    <border>
      <left/>
      <right/>
      <top style="medium"/>
      <bottom style="hair"/>
    </border>
    <border>
      <left/>
      <right style="hair"/>
      <top style="medium"/>
      <bottom style="hair"/>
    </border>
    <border>
      <left/>
      <right style="hair"/>
      <top style="hair"/>
      <bottom/>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hair"/>
    </border>
    <border>
      <left style="thin">
        <color rgb="FFC2D69A"/>
      </left>
      <right>
        <color indexed="63"/>
      </right>
      <top style="thin">
        <color rgb="FFC2D69A"/>
      </top>
      <bottom style="thin">
        <color rgb="FFC2D69A"/>
      </bottom>
    </border>
    <border>
      <left>
        <color indexed="63"/>
      </left>
      <right>
        <color indexed="63"/>
      </right>
      <top style="thin">
        <color rgb="FFC2D69A"/>
      </top>
      <bottom style="thin">
        <color rgb="FFC2D69A"/>
      </bottom>
    </border>
    <border>
      <left>
        <color indexed="63"/>
      </left>
      <right style="thin">
        <color rgb="FFC2D69A"/>
      </right>
      <top style="thin">
        <color rgb="FFC2D69A"/>
      </top>
      <bottom style="thin">
        <color rgb="FFC2D69A"/>
      </bottom>
    </border>
    <border>
      <left/>
      <right/>
      <top style="thin"/>
      <bottom/>
    </border>
    <border>
      <left/>
      <right/>
      <top/>
      <bottom style="hair"/>
    </border>
    <border>
      <left style="hair"/>
      <right/>
      <top>
        <color indexed="63"/>
      </top>
      <bottom style="thin"/>
    </border>
    <border>
      <left/>
      <right style="hair"/>
      <top>
        <color indexed="63"/>
      </top>
      <bottom style="thin"/>
    </border>
    <border>
      <left style="hair"/>
      <right/>
      <top style="medium"/>
      <bottom/>
    </border>
    <border>
      <left>
        <color indexed="63"/>
      </left>
      <right style="hair"/>
      <top style="medium"/>
      <bottom>
        <color indexed="63"/>
      </bottom>
    </border>
    <border>
      <left/>
      <right style="hair"/>
      <top style="medium"/>
      <bottom style="thin"/>
    </border>
    <border>
      <left style="hair"/>
      <right style="thin"/>
      <top style="medium"/>
      <bottom style="thin"/>
    </border>
    <border>
      <left style="thin"/>
      <right style="thin"/>
      <top style="medium"/>
      <bottom style="thin"/>
    </border>
    <border>
      <left style="thin"/>
      <right style="hair"/>
      <top style="medium"/>
      <bottom style="thin"/>
    </border>
    <border>
      <left style="hair"/>
      <right/>
      <top style="thin"/>
      <bottom style="hair"/>
    </border>
    <border>
      <left/>
      <right style="hair"/>
      <top style="thin"/>
      <bottom style="hair"/>
    </border>
    <border>
      <left/>
      <right/>
      <top style="dotted"/>
      <bottom/>
    </border>
    <border>
      <left style="thin"/>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thin"/>
      <bottom style="medium"/>
    </border>
  </borders>
  <cellStyleXfs count="172">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7"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13" borderId="0" applyNumberFormat="0" applyBorder="0" applyAlignment="0" applyProtection="0"/>
    <xf numFmtId="0" fontId="94" fillId="20" borderId="0" applyNumberFormat="0" applyBorder="0" applyAlignment="0" applyProtection="0"/>
    <xf numFmtId="0" fontId="94" fillId="7"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5" fillId="26" borderId="0" applyNumberFormat="0" applyBorder="0" applyAlignment="0" applyProtection="0"/>
    <xf numFmtId="0" fontId="95" fillId="27" borderId="0" applyNumberFormat="0" applyBorder="0" applyAlignment="0" applyProtection="0"/>
    <xf numFmtId="0" fontId="95" fillId="28" borderId="0" applyNumberFormat="0" applyBorder="0" applyAlignment="0" applyProtection="0"/>
    <xf numFmtId="0" fontId="95" fillId="29" borderId="0" applyNumberFormat="0" applyBorder="0" applyAlignment="0" applyProtection="0"/>
    <xf numFmtId="0" fontId="95" fillId="30" borderId="0" applyNumberFormat="0" applyBorder="0" applyAlignment="0" applyProtection="0"/>
    <xf numFmtId="0" fontId="95" fillId="31" borderId="0" applyNumberFormat="0" applyBorder="0" applyAlignment="0" applyProtection="0"/>
    <xf numFmtId="0" fontId="95" fillId="32" borderId="0" applyNumberFormat="0" applyBorder="0" applyAlignment="0" applyProtection="0"/>
    <xf numFmtId="0" fontId="95" fillId="33" borderId="0" applyNumberFormat="0" applyBorder="0" applyAlignment="0" applyProtection="0"/>
    <xf numFmtId="0" fontId="95" fillId="34" borderId="0" applyNumberFormat="0" applyBorder="0" applyAlignment="0" applyProtection="0"/>
    <xf numFmtId="0" fontId="95" fillId="35" borderId="0" applyNumberFormat="0" applyBorder="0" applyAlignment="0" applyProtection="0"/>
    <xf numFmtId="0" fontId="95" fillId="36" borderId="0" applyNumberFormat="0" applyBorder="0" applyAlignment="0" applyProtection="0"/>
    <xf numFmtId="0" fontId="95" fillId="37" borderId="0" applyNumberFormat="0" applyBorder="0" applyAlignment="0" applyProtection="0"/>
    <xf numFmtId="0" fontId="96" fillId="38" borderId="0" applyNumberFormat="0" applyBorder="0" applyAlignment="0" applyProtection="0"/>
    <xf numFmtId="0" fontId="97" fillId="39" borderId="1" applyNumberFormat="0" applyAlignment="0" applyProtection="0"/>
    <xf numFmtId="0" fontId="98"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9" fillId="0" borderId="0" applyNumberForma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100" fillId="41"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1" fillId="0" borderId="3" applyNumberFormat="0" applyFill="0" applyAlignment="0" applyProtection="0"/>
    <xf numFmtId="0" fontId="10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42" borderId="1" applyNumberFormat="0" applyAlignment="0" applyProtection="0"/>
    <xf numFmtId="0" fontId="103" fillId="0" borderId="4" applyNumberFormat="0" applyFill="0" applyAlignment="0" applyProtection="0"/>
    <xf numFmtId="0" fontId="104" fillId="43" borderId="0" applyNumberFormat="0" applyBorder="0" applyAlignment="0" applyProtection="0"/>
    <xf numFmtId="0" fontId="3" fillId="0" borderId="0">
      <alignment/>
      <protection/>
    </xf>
    <xf numFmtId="0" fontId="94" fillId="0" borderId="0">
      <alignment/>
      <protection/>
    </xf>
    <xf numFmtId="0" fontId="94" fillId="0" borderId="0">
      <alignment/>
      <protection/>
    </xf>
    <xf numFmtId="0" fontId="3" fillId="0" borderId="0">
      <alignment/>
      <protection/>
    </xf>
    <xf numFmtId="0" fontId="94" fillId="0" borderId="0">
      <alignment/>
      <protection/>
    </xf>
    <xf numFmtId="0" fontId="3" fillId="0" borderId="0">
      <alignment/>
      <protection/>
    </xf>
    <xf numFmtId="0" fontId="3" fillId="0" borderId="0">
      <alignment/>
      <protection/>
    </xf>
    <xf numFmtId="0" fontId="4" fillId="0" borderId="0">
      <alignment/>
      <protection/>
    </xf>
    <xf numFmtId="0" fontId="3" fillId="0" borderId="0">
      <alignment/>
      <protection/>
    </xf>
    <xf numFmtId="0" fontId="3" fillId="0" borderId="0">
      <alignment/>
      <protection/>
    </xf>
    <xf numFmtId="0" fontId="3" fillId="0" borderId="0">
      <alignment/>
      <protection/>
    </xf>
    <xf numFmtId="0" fontId="19" fillId="0" borderId="0">
      <alignment/>
      <protection/>
    </xf>
    <xf numFmtId="0" fontId="19" fillId="0" borderId="0">
      <alignment/>
      <protection/>
    </xf>
    <xf numFmtId="0" fontId="3"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164" fontId="0"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164" fontId="9" fillId="0" borderId="0">
      <alignment/>
      <protection/>
    </xf>
    <xf numFmtId="0" fontId="3" fillId="0" borderId="0">
      <alignment/>
      <protection/>
    </xf>
    <xf numFmtId="0" fontId="3" fillId="0" borderId="0">
      <alignment/>
      <protection/>
    </xf>
    <xf numFmtId="164" fontId="0" fillId="0" borderId="0">
      <alignment/>
      <protection/>
    </xf>
    <xf numFmtId="0" fontId="3" fillId="0" borderId="0">
      <alignment/>
      <protection/>
    </xf>
    <xf numFmtId="164" fontId="0" fillId="0" borderId="0">
      <alignment/>
      <protection/>
    </xf>
    <xf numFmtId="0" fontId="4" fillId="0" borderId="0">
      <alignment/>
      <protection/>
    </xf>
    <xf numFmtId="0" fontId="0" fillId="44" borderId="5" applyNumberFormat="0" applyFont="0" applyAlignment="0" applyProtection="0"/>
    <xf numFmtId="0" fontId="3" fillId="44" borderId="5" applyNumberFormat="0" applyFont="0" applyAlignment="0" applyProtection="0"/>
    <xf numFmtId="0" fontId="3" fillId="44" borderId="5" applyNumberFormat="0" applyFont="0" applyAlignment="0" applyProtection="0"/>
    <xf numFmtId="0" fontId="3" fillId="44" borderId="5" applyNumberFormat="0" applyFont="0" applyAlignment="0" applyProtection="0"/>
    <xf numFmtId="0" fontId="3" fillId="44" borderId="5" applyNumberFormat="0" applyFont="0" applyAlignment="0" applyProtection="0"/>
    <xf numFmtId="0" fontId="3" fillId="44" borderId="5" applyNumberFormat="0" applyFont="0" applyAlignment="0" applyProtection="0"/>
    <xf numFmtId="0" fontId="3" fillId="44" borderId="5" applyNumberFormat="0" applyFont="0" applyAlignment="0" applyProtection="0"/>
    <xf numFmtId="0" fontId="105" fillId="39" borderId="6"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6" fillId="0" borderId="0" applyNumberFormat="0" applyFill="0" applyBorder="0" applyAlignment="0" applyProtection="0"/>
    <xf numFmtId="0" fontId="3" fillId="0" borderId="7" applyNumberFormat="0" applyFont="0" applyFill="0" applyAlignment="0" applyProtection="0"/>
    <xf numFmtId="0" fontId="3" fillId="0" borderId="7" applyNumberFormat="0" applyFont="0" applyFill="0" applyAlignment="0" applyProtection="0"/>
    <xf numFmtId="0" fontId="3" fillId="0" borderId="7" applyNumberFormat="0" applyFont="0" applyFill="0" applyAlignment="0" applyProtection="0"/>
    <xf numFmtId="0" fontId="3" fillId="0" borderId="7" applyNumberFormat="0" applyFont="0" applyFill="0" applyAlignment="0" applyProtection="0"/>
    <xf numFmtId="0" fontId="3" fillId="0" borderId="7" applyNumberFormat="0" applyFont="0" applyFill="0" applyAlignment="0" applyProtection="0"/>
    <xf numFmtId="0" fontId="3" fillId="0" borderId="7" applyNumberFormat="0" applyFont="0" applyFill="0" applyAlignment="0" applyProtection="0"/>
    <xf numFmtId="0" fontId="3" fillId="0" borderId="7" applyNumberFormat="0" applyFont="0" applyFill="0" applyAlignment="0" applyProtection="0"/>
    <xf numFmtId="0" fontId="3" fillId="0" borderId="7" applyNumberFormat="0" applyFont="0" applyFill="0" applyAlignment="0" applyProtection="0"/>
    <xf numFmtId="0" fontId="3" fillId="0" borderId="7" applyNumberFormat="0" applyFont="0" applyFill="0" applyAlignment="0" applyProtection="0"/>
    <xf numFmtId="0" fontId="107" fillId="0" borderId="0" applyNumberFormat="0" applyFill="0" applyBorder="0" applyAlignment="0" applyProtection="0"/>
  </cellStyleXfs>
  <cellXfs count="857">
    <xf numFmtId="164" fontId="0" fillId="0" borderId="0" xfId="0" applyAlignment="1">
      <alignment/>
    </xf>
    <xf numFmtId="0" fontId="4" fillId="0" borderId="8" xfId="127" applyFont="1" applyBorder="1" applyAlignment="1" quotePrefix="1">
      <alignment horizontal="right"/>
      <protection/>
    </xf>
    <xf numFmtId="0" fontId="3" fillId="0" borderId="0" xfId="127">
      <alignment/>
      <protection/>
    </xf>
    <xf numFmtId="0" fontId="4" fillId="0" borderId="0" xfId="127" applyFont="1">
      <alignment/>
      <protection/>
    </xf>
    <xf numFmtId="0" fontId="3" fillId="0" borderId="8" xfId="127" applyBorder="1">
      <alignment/>
      <protection/>
    </xf>
    <xf numFmtId="0" fontId="4" fillId="0" borderId="8" xfId="127" applyFont="1" applyBorder="1">
      <alignment/>
      <protection/>
    </xf>
    <xf numFmtId="0" fontId="3" fillId="0" borderId="0" xfId="127" applyBorder="1">
      <alignment/>
      <protection/>
    </xf>
    <xf numFmtId="166" fontId="4" fillId="0" borderId="0" xfId="127" applyNumberFormat="1" applyFont="1">
      <alignment/>
      <protection/>
    </xf>
    <xf numFmtId="0" fontId="3" fillId="0" borderId="0" xfId="127" applyAlignment="1">
      <alignment horizontal="fill"/>
      <protection/>
    </xf>
    <xf numFmtId="165" fontId="4" fillId="0" borderId="8" xfId="127" applyNumberFormat="1" applyFont="1" applyBorder="1">
      <alignment/>
      <protection/>
    </xf>
    <xf numFmtId="164" fontId="6" fillId="0" borderId="0" xfId="0" applyFont="1" applyBorder="1" applyAlignment="1">
      <alignment horizontal="right"/>
    </xf>
    <xf numFmtId="14" fontId="6" fillId="0" borderId="0" xfId="127" applyNumberFormat="1" applyFont="1" applyBorder="1" applyAlignment="1" quotePrefix="1">
      <alignment horizontal="left"/>
      <protection/>
    </xf>
    <xf numFmtId="0" fontId="2" fillId="0" borderId="0" xfId="127" applyFont="1">
      <alignment/>
      <protection/>
    </xf>
    <xf numFmtId="0" fontId="4" fillId="0" borderId="8" xfId="127" applyFont="1" applyBorder="1" applyAlignment="1" quotePrefix="1">
      <alignment horizontal="left"/>
      <protection/>
    </xf>
    <xf numFmtId="166" fontId="3" fillId="0" borderId="8" xfId="127" applyNumberFormat="1" applyBorder="1">
      <alignment/>
      <protection/>
    </xf>
    <xf numFmtId="0" fontId="3" fillId="0" borderId="0" xfId="127" applyFont="1">
      <alignment/>
      <protection/>
    </xf>
    <xf numFmtId="0" fontId="2" fillId="0" borderId="0" xfId="127" applyFont="1">
      <alignment/>
      <protection/>
    </xf>
    <xf numFmtId="0" fontId="3" fillId="0" borderId="0" xfId="127" applyFont="1" applyAlignment="1">
      <alignment horizontal="fill"/>
      <protection/>
    </xf>
    <xf numFmtId="0" fontId="3" fillId="0" borderId="0" xfId="127" applyFont="1">
      <alignment/>
      <protection/>
    </xf>
    <xf numFmtId="0" fontId="3" fillId="0" borderId="0" xfId="137">
      <alignment/>
      <protection/>
    </xf>
    <xf numFmtId="49" fontId="3" fillId="0" borderId="0" xfId="127" applyNumberFormat="1" applyFont="1" applyAlignment="1">
      <alignment horizontal="center"/>
      <protection/>
    </xf>
    <xf numFmtId="164" fontId="11" fillId="0" borderId="0" xfId="136" applyFont="1">
      <alignment/>
      <protection/>
    </xf>
    <xf numFmtId="164" fontId="11" fillId="0" borderId="0" xfId="136" applyFont="1" applyBorder="1">
      <alignment/>
      <protection/>
    </xf>
    <xf numFmtId="0" fontId="3" fillId="0" borderId="0" xfId="127" applyFont="1" applyAlignment="1">
      <alignment horizontal="right"/>
      <protection/>
    </xf>
    <xf numFmtId="168" fontId="10" fillId="0" borderId="0" xfId="136" applyNumberFormat="1" applyFont="1" applyBorder="1">
      <alignment/>
      <protection/>
    </xf>
    <xf numFmtId="164" fontId="17" fillId="0" borderId="0" xfId="101" applyNumberFormat="1" applyFont="1" applyAlignment="1" applyProtection="1">
      <alignment horizontal="right"/>
      <protection/>
    </xf>
    <xf numFmtId="164" fontId="0" fillId="0" borderId="8" xfId="0" applyBorder="1" applyAlignment="1">
      <alignment/>
    </xf>
    <xf numFmtId="0" fontId="3" fillId="0" borderId="0" xfId="137" applyFont="1">
      <alignment/>
      <protection/>
    </xf>
    <xf numFmtId="0" fontId="3" fillId="0" borderId="0" xfId="137" applyNumberFormat="1" applyFont="1" applyBorder="1" applyAlignment="1">
      <alignment horizontal="center"/>
      <protection/>
    </xf>
    <xf numFmtId="0" fontId="24" fillId="0" borderId="0" xfId="127" applyFont="1" applyBorder="1" applyAlignment="1">
      <alignment horizontal="right" vertical="center"/>
      <protection/>
    </xf>
    <xf numFmtId="0" fontId="19" fillId="0" borderId="8" xfId="128" applyFont="1" applyBorder="1" applyAlignment="1" applyProtection="1">
      <alignment vertical="center"/>
      <protection/>
    </xf>
    <xf numFmtId="0" fontId="4" fillId="0" borderId="8" xfId="128" applyFont="1" applyBorder="1" applyAlignment="1" applyProtection="1">
      <alignment vertical="center"/>
      <protection/>
    </xf>
    <xf numFmtId="0" fontId="24" fillId="0" borderId="9" xfId="127" applyFont="1" applyFill="1" applyBorder="1" applyAlignment="1" applyProtection="1">
      <alignment horizontal="center" vertical="center"/>
      <protection/>
    </xf>
    <xf numFmtId="0" fontId="24" fillId="0" borderId="0" xfId="127" applyFont="1" applyBorder="1" applyAlignment="1" quotePrefix="1">
      <alignment horizontal="right" vertical="center"/>
      <protection/>
    </xf>
    <xf numFmtId="0" fontId="19" fillId="0" borderId="8" xfId="127" applyFont="1" applyBorder="1" applyAlignment="1">
      <alignment horizontal="left"/>
      <protection/>
    </xf>
    <xf numFmtId="0" fontId="19" fillId="0" borderId="8" xfId="127" applyFont="1" applyBorder="1" applyAlignment="1">
      <alignment horizontal="left" vertical="center"/>
      <protection/>
    </xf>
    <xf numFmtId="0" fontId="4" fillId="0" borderId="8" xfId="127" applyFont="1" applyBorder="1" applyAlignment="1" quotePrefix="1">
      <alignment horizontal="right" vertical="center"/>
      <protection/>
    </xf>
    <xf numFmtId="165" fontId="4" fillId="0" borderId="8" xfId="127" applyNumberFormat="1" applyFont="1" applyBorder="1" applyAlignment="1">
      <alignment vertical="center"/>
      <protection/>
    </xf>
    <xf numFmtId="0" fontId="4" fillId="0" borderId="8" xfId="127" applyFont="1" applyBorder="1" applyAlignment="1">
      <alignment vertical="center"/>
      <protection/>
    </xf>
    <xf numFmtId="0" fontId="4" fillId="0" borderId="8" xfId="127" applyFont="1" applyBorder="1" applyAlignment="1" quotePrefix="1">
      <alignment horizontal="left" vertical="center"/>
      <protection/>
    </xf>
    <xf numFmtId="164" fontId="0" fillId="0" borderId="8" xfId="0" applyBorder="1" applyAlignment="1">
      <alignment vertical="center"/>
    </xf>
    <xf numFmtId="0" fontId="3" fillId="0" borderId="0" xfId="127" applyAlignment="1">
      <alignment vertical="center"/>
      <protection/>
    </xf>
    <xf numFmtId="0" fontId="24" fillId="0" borderId="0" xfId="127" applyFont="1" applyAlignment="1">
      <alignment vertical="center"/>
      <protection/>
    </xf>
    <xf numFmtId="0" fontId="19" fillId="0" borderId="8" xfId="127" applyFont="1" applyBorder="1" applyAlignment="1" quotePrefix="1">
      <alignment horizontal="left" vertical="center"/>
      <protection/>
    </xf>
    <xf numFmtId="164" fontId="33" fillId="0" borderId="0" xfId="136" applyFont="1" applyAlignment="1">
      <alignment horizontal="right"/>
      <protection/>
    </xf>
    <xf numFmtId="164" fontId="24" fillId="0" borderId="0" xfId="136" applyFont="1">
      <alignment/>
      <protection/>
    </xf>
    <xf numFmtId="164" fontId="19" fillId="0" borderId="8" xfId="136" applyFont="1" applyBorder="1">
      <alignment/>
      <protection/>
    </xf>
    <xf numFmtId="164" fontId="11" fillId="0" borderId="8" xfId="136" applyFont="1" applyBorder="1">
      <alignment/>
      <protection/>
    </xf>
    <xf numFmtId="164" fontId="24" fillId="0" borderId="0" xfId="136" applyFont="1" applyBorder="1">
      <alignment/>
      <protection/>
    </xf>
    <xf numFmtId="174" fontId="24" fillId="0" borderId="10" xfId="127" applyNumberFormat="1" applyFont="1" applyFill="1" applyBorder="1" applyAlignment="1" applyProtection="1">
      <alignment vertical="center"/>
      <protection/>
    </xf>
    <xf numFmtId="174" fontId="24" fillId="0" borderId="0" xfId="127" applyNumberFormat="1" applyFont="1" applyFill="1" applyBorder="1" applyAlignment="1" applyProtection="1">
      <alignment vertical="center"/>
      <protection/>
    </xf>
    <xf numFmtId="0" fontId="19" fillId="0" borderId="0" xfId="127" applyFont="1" applyBorder="1" applyAlignment="1">
      <alignment horizontal="left"/>
      <protection/>
    </xf>
    <xf numFmtId="0" fontId="4" fillId="0" borderId="0" xfId="127" applyFont="1" applyBorder="1">
      <alignment/>
      <protection/>
    </xf>
    <xf numFmtId="164" fontId="0" fillId="0" borderId="0" xfId="0" applyBorder="1" applyAlignment="1">
      <alignment/>
    </xf>
    <xf numFmtId="0" fontId="3" fillId="0" borderId="0" xfId="127" applyBorder="1" applyAlignment="1">
      <alignment vertical="center"/>
      <protection/>
    </xf>
    <xf numFmtId="164" fontId="19" fillId="0" borderId="0" xfId="136" applyFont="1" applyBorder="1">
      <alignment/>
      <protection/>
    </xf>
    <xf numFmtId="171" fontId="11" fillId="0" borderId="0" xfId="136" applyNumberFormat="1" applyFont="1" applyBorder="1">
      <alignment/>
      <protection/>
    </xf>
    <xf numFmtId="164" fontId="4" fillId="0" borderId="0" xfId="0" applyFont="1" applyAlignment="1" applyProtection="1">
      <alignment vertical="center"/>
      <protection/>
    </xf>
    <xf numFmtId="164" fontId="0" fillId="0" borderId="0" xfId="0" applyAlignment="1" applyProtection="1">
      <alignment vertical="center"/>
      <protection/>
    </xf>
    <xf numFmtId="0" fontId="24" fillId="0" borderId="11" xfId="127" applyFont="1" applyFill="1" applyBorder="1" applyAlignment="1" applyProtection="1">
      <alignment horizontal="center" vertical="center" wrapText="1"/>
      <protection/>
    </xf>
    <xf numFmtId="0" fontId="24" fillId="0" borderId="12" xfId="127" applyFont="1" applyFill="1" applyBorder="1" applyAlignment="1" applyProtection="1">
      <alignment horizontal="center" vertical="center" wrapText="1"/>
      <protection/>
    </xf>
    <xf numFmtId="0" fontId="24" fillId="0" borderId="13" xfId="127" applyFont="1" applyFill="1" applyBorder="1" applyAlignment="1" applyProtection="1">
      <alignment horizontal="center" vertical="center" wrapText="1"/>
      <protection/>
    </xf>
    <xf numFmtId="164" fontId="37" fillId="0" borderId="8" xfId="0" applyFont="1" applyBorder="1" applyAlignment="1">
      <alignment/>
    </xf>
    <xf numFmtId="0" fontId="19" fillId="0" borderId="8" xfId="127" applyFont="1" applyBorder="1" applyAlignment="1" applyProtection="1">
      <alignment horizontal="right" vertical="center"/>
      <protection/>
    </xf>
    <xf numFmtId="0" fontId="37" fillId="0" borderId="8" xfId="137" applyFont="1" applyBorder="1">
      <alignment/>
      <protection/>
    </xf>
    <xf numFmtId="0" fontId="3" fillId="0" borderId="8" xfId="137" applyBorder="1">
      <alignment/>
      <protection/>
    </xf>
    <xf numFmtId="0" fontId="23" fillId="0" borderId="8" xfId="127" applyFont="1" applyBorder="1" applyAlignment="1" applyProtection="1" quotePrefix="1">
      <alignment horizontal="right" vertical="center"/>
      <protection/>
    </xf>
    <xf numFmtId="0" fontId="23" fillId="0" borderId="0" xfId="127" applyFont="1" applyBorder="1" applyAlignment="1" applyProtection="1" quotePrefix="1">
      <alignment horizontal="right" vertical="center"/>
      <protection/>
    </xf>
    <xf numFmtId="0" fontId="37" fillId="0" borderId="8" xfId="142" applyFont="1" applyBorder="1" applyAlignment="1" applyProtection="1">
      <alignment vertical="center"/>
      <protection/>
    </xf>
    <xf numFmtId="0" fontId="4" fillId="0" borderId="0" xfId="142" applyProtection="1">
      <alignment/>
      <protection/>
    </xf>
    <xf numFmtId="0" fontId="21" fillId="0" borderId="8" xfId="142" applyFont="1" applyBorder="1" applyProtection="1">
      <alignment/>
      <protection/>
    </xf>
    <xf numFmtId="0" fontId="4" fillId="0" borderId="8" xfId="142" applyBorder="1" applyProtection="1">
      <alignment/>
      <protection/>
    </xf>
    <xf numFmtId="0" fontId="24" fillId="0" borderId="0" xfId="142" applyFont="1" applyAlignment="1" applyProtection="1">
      <alignment horizontal="left" vertical="center" wrapText="1"/>
      <protection/>
    </xf>
    <xf numFmtId="0" fontId="4" fillId="0" borderId="0" xfId="142" applyAlignment="1" applyProtection="1">
      <alignment vertical="center"/>
      <protection/>
    </xf>
    <xf numFmtId="0" fontId="33" fillId="0" borderId="0" xfId="142" applyFont="1" applyAlignment="1" applyProtection="1">
      <alignment vertical="center"/>
      <protection/>
    </xf>
    <xf numFmtId="0" fontId="26" fillId="0" borderId="0" xfId="142" applyFont="1" applyAlignment="1" applyProtection="1">
      <alignment horizontal="center" vertical="center"/>
      <protection/>
    </xf>
    <xf numFmtId="0" fontId="11" fillId="0" borderId="0" xfId="142" applyFont="1" applyAlignment="1" applyProtection="1">
      <alignment horizontal="right" vertical="center"/>
      <protection/>
    </xf>
    <xf numFmtId="0" fontId="24" fillId="0" borderId="0" xfId="142" applyFont="1" applyAlignment="1" applyProtection="1">
      <alignment vertical="center"/>
      <protection/>
    </xf>
    <xf numFmtId="0" fontId="25" fillId="0" borderId="8" xfId="142" applyFont="1" applyBorder="1" applyAlignment="1" applyProtection="1">
      <alignment vertical="center"/>
      <protection/>
    </xf>
    <xf numFmtId="0" fontId="4" fillId="0" borderId="8" xfId="142" applyBorder="1" applyAlignment="1" applyProtection="1">
      <alignment vertical="center"/>
      <protection/>
    </xf>
    <xf numFmtId="0" fontId="11" fillId="0" borderId="8" xfId="142" applyFont="1" applyBorder="1" applyAlignment="1" applyProtection="1">
      <alignment vertical="center"/>
      <protection/>
    </xf>
    <xf numFmtId="175" fontId="11" fillId="0" borderId="0" xfId="142" applyNumberFormat="1" applyFont="1" applyAlignment="1" applyProtection="1">
      <alignment vertical="center"/>
      <protection/>
    </xf>
    <xf numFmtId="0" fontId="4" fillId="0" borderId="0" xfId="142" applyNumberFormat="1" applyAlignment="1" applyProtection="1">
      <alignment vertical="center"/>
      <protection/>
    </xf>
    <xf numFmtId="176" fontId="4" fillId="0" borderId="0" xfId="142" applyNumberFormat="1" applyProtection="1">
      <alignment/>
      <protection/>
    </xf>
    <xf numFmtId="164" fontId="24" fillId="0" borderId="0" xfId="0" applyFont="1" applyAlignment="1" applyProtection="1">
      <alignment horizontal="left" vertical="center" wrapText="1"/>
      <protection/>
    </xf>
    <xf numFmtId="0" fontId="24" fillId="0" borderId="0" xfId="142" applyFont="1" applyAlignment="1" applyProtection="1">
      <alignment horizontal="right" vertical="center"/>
      <protection/>
    </xf>
    <xf numFmtId="0" fontId="26" fillId="0" borderId="0" xfId="142" applyFont="1" applyAlignment="1" applyProtection="1">
      <alignment vertical="center"/>
      <protection/>
    </xf>
    <xf numFmtId="0" fontId="18" fillId="0" borderId="0" xfId="142" applyFont="1" applyAlignment="1" applyProtection="1">
      <alignment vertical="center"/>
      <protection/>
    </xf>
    <xf numFmtId="0" fontId="29" fillId="0" borderId="14" xfId="142" applyFont="1" applyBorder="1" applyProtection="1">
      <alignment/>
      <protection/>
    </xf>
    <xf numFmtId="164" fontId="24" fillId="0" borderId="14" xfId="0" applyFont="1" applyBorder="1" applyAlignment="1" applyProtection="1">
      <alignment horizontal="left" vertical="center" wrapText="1"/>
      <protection/>
    </xf>
    <xf numFmtId="0" fontId="24" fillId="0" borderId="0" xfId="142" applyFont="1" applyBorder="1" applyAlignment="1" applyProtection="1">
      <alignment horizontal="left" vertical="center" wrapText="1"/>
      <protection/>
    </xf>
    <xf numFmtId="0" fontId="4" fillId="0" borderId="14" xfId="142" applyBorder="1" applyProtection="1">
      <alignment/>
      <protection/>
    </xf>
    <xf numFmtId="0" fontId="4" fillId="0" borderId="14" xfId="142" applyBorder="1" applyAlignment="1" applyProtection="1">
      <alignment vertical="center"/>
      <protection/>
    </xf>
    <xf numFmtId="0" fontId="2" fillId="0" borderId="0" xfId="127" applyFont="1" applyBorder="1">
      <alignment/>
      <protection/>
    </xf>
    <xf numFmtId="164" fontId="11" fillId="0" borderId="0" xfId="0" applyFont="1" applyAlignment="1">
      <alignment/>
    </xf>
    <xf numFmtId="164" fontId="37" fillId="0" borderId="8" xfId="0" applyFont="1" applyBorder="1" applyAlignment="1">
      <alignment vertical="center"/>
    </xf>
    <xf numFmtId="164" fontId="22" fillId="0" borderId="8" xfId="0" applyFont="1" applyBorder="1" applyAlignment="1">
      <alignment vertical="center"/>
    </xf>
    <xf numFmtId="164" fontId="0" fillId="0" borderId="0" xfId="0" applyAlignment="1">
      <alignment vertical="center"/>
    </xf>
    <xf numFmtId="0" fontId="3" fillId="0" borderId="0" xfId="128" applyAlignment="1" applyProtection="1">
      <alignment vertical="center"/>
      <protection/>
    </xf>
    <xf numFmtId="0" fontId="3" fillId="0" borderId="0" xfId="128" applyAlignment="1" applyProtection="1">
      <alignment horizontal="centerContinuous" vertical="center"/>
      <protection/>
    </xf>
    <xf numFmtId="0" fontId="4" fillId="0" borderId="0" xfId="128" applyFont="1" applyBorder="1" applyAlignment="1" applyProtection="1">
      <alignment horizontal="centerContinuous" vertical="center"/>
      <protection/>
    </xf>
    <xf numFmtId="0" fontId="3" fillId="0" borderId="0" xfId="128" applyAlignment="1" applyProtection="1">
      <alignment vertical="center" wrapText="1"/>
      <protection/>
    </xf>
    <xf numFmtId="0" fontId="5" fillId="0" borderId="0" xfId="128" applyFont="1" applyAlignment="1" applyProtection="1">
      <alignment vertical="center"/>
      <protection/>
    </xf>
    <xf numFmtId="164" fontId="4" fillId="0" borderId="0" xfId="0" applyFont="1" applyBorder="1" applyAlignment="1" applyProtection="1">
      <alignment horizontal="right" vertical="center"/>
      <protection/>
    </xf>
    <xf numFmtId="164" fontId="0" fillId="0" borderId="0" xfId="0" applyBorder="1" applyAlignment="1">
      <alignment vertical="center"/>
    </xf>
    <xf numFmtId="164" fontId="4" fillId="0" borderId="0" xfId="0" applyFont="1" applyBorder="1" applyAlignment="1" applyProtection="1">
      <alignment vertical="center"/>
      <protection/>
    </xf>
    <xf numFmtId="164" fontId="4" fillId="0" borderId="8" xfId="0" applyFont="1" applyBorder="1" applyAlignment="1" applyProtection="1">
      <alignment vertical="center"/>
      <protection/>
    </xf>
    <xf numFmtId="164" fontId="26" fillId="0" borderId="0" xfId="136" applyFont="1" applyAlignment="1">
      <alignment horizontal="left" vertical="center"/>
      <protection/>
    </xf>
    <xf numFmtId="0" fontId="24" fillId="0" borderId="15" xfId="127" applyFont="1" applyFill="1" applyBorder="1" applyAlignment="1" applyProtection="1">
      <alignment horizontal="center" vertical="center"/>
      <protection/>
    </xf>
    <xf numFmtId="179" fontId="11" fillId="0" borderId="16" xfId="127" applyNumberFormat="1" applyFont="1" applyFill="1" applyBorder="1" applyAlignment="1" applyProtection="1">
      <alignment horizontal="left" vertical="center"/>
      <protection/>
    </xf>
    <xf numFmtId="0" fontId="19" fillId="0" borderId="8" xfId="127" applyFont="1" applyBorder="1" applyAlignment="1" quotePrefix="1">
      <alignment vertical="center"/>
      <protection/>
    </xf>
    <xf numFmtId="0" fontId="24" fillId="0" borderId="0" xfId="127" applyFont="1" applyAlignment="1">
      <alignment horizontal="right" vertical="center"/>
      <protection/>
    </xf>
    <xf numFmtId="180" fontId="25" fillId="0" borderId="0" xfId="127" applyNumberFormat="1" applyFont="1" applyBorder="1" applyAlignment="1">
      <alignment horizontal="right" vertical="center"/>
      <protection/>
    </xf>
    <xf numFmtId="0" fontId="24" fillId="0" borderId="0" xfId="127" applyFont="1" applyAlignment="1">
      <alignment horizontal="left" vertical="center"/>
      <protection/>
    </xf>
    <xf numFmtId="0" fontId="21" fillId="0" borderId="0" xfId="142" applyFont="1" applyBorder="1" applyProtection="1">
      <alignment/>
      <protection/>
    </xf>
    <xf numFmtId="0" fontId="11" fillId="0" borderId="0" xfId="142" applyFont="1" applyBorder="1" applyAlignment="1" applyProtection="1">
      <alignment vertical="center"/>
      <protection/>
    </xf>
    <xf numFmtId="0" fontId="4" fillId="0" borderId="0" xfId="142" applyBorder="1" applyAlignment="1" applyProtection="1">
      <alignment vertical="center"/>
      <protection/>
    </xf>
    <xf numFmtId="0" fontId="4" fillId="0" borderId="0" xfId="142" applyBorder="1" applyProtection="1">
      <alignment/>
      <protection/>
    </xf>
    <xf numFmtId="0" fontId="19" fillId="0" borderId="0" xfId="127" applyFont="1" applyBorder="1" applyAlignment="1" applyProtection="1">
      <alignment horizontal="right" vertical="center"/>
      <protection/>
    </xf>
    <xf numFmtId="164" fontId="33" fillId="0" borderId="0" xfId="136" applyFont="1" applyAlignment="1">
      <alignment horizontal="right" vertical="top"/>
      <protection/>
    </xf>
    <xf numFmtId="0" fontId="24" fillId="0" borderId="17" xfId="127" applyFont="1" applyFill="1" applyBorder="1" applyAlignment="1" applyProtection="1">
      <alignment horizontal="center" vertical="center" wrapText="1"/>
      <protection/>
    </xf>
    <xf numFmtId="0" fontId="19" fillId="0" borderId="0" xfId="127" applyFont="1" applyBorder="1" applyAlignment="1">
      <alignment horizontal="left" vertical="center"/>
      <protection/>
    </xf>
    <xf numFmtId="0" fontId="4" fillId="0" borderId="0" xfId="127" applyFont="1" applyBorder="1" applyAlignment="1" quotePrefix="1">
      <alignment horizontal="right"/>
      <protection/>
    </xf>
    <xf numFmtId="165" fontId="4" fillId="0" borderId="0" xfId="127" applyNumberFormat="1" applyFont="1" applyBorder="1">
      <alignment/>
      <protection/>
    </xf>
    <xf numFmtId="0" fontId="4" fillId="0" borderId="0" xfId="127" applyFont="1" applyBorder="1" applyAlignment="1" quotePrefix="1">
      <alignment horizontal="left"/>
      <protection/>
    </xf>
    <xf numFmtId="179" fontId="11" fillId="0" borderId="18" xfId="127" applyNumberFormat="1" applyFont="1" applyFill="1" applyBorder="1" applyAlignment="1" applyProtection="1">
      <alignment horizontal="left" vertical="center"/>
      <protection/>
    </xf>
    <xf numFmtId="0" fontId="37" fillId="0" borderId="8" xfId="133" applyFont="1" applyBorder="1" applyAlignment="1" applyProtection="1">
      <alignment horizontal="right"/>
      <protection/>
    </xf>
    <xf numFmtId="164" fontId="24" fillId="0" borderId="0" xfId="0" applyFont="1" applyBorder="1" applyAlignment="1">
      <alignment horizontal="left" vertical="top" wrapText="1"/>
    </xf>
    <xf numFmtId="0" fontId="24" fillId="0" borderId="19" xfId="127" applyFont="1" applyFill="1" applyBorder="1" applyAlignment="1" applyProtection="1">
      <alignment horizontal="center" vertical="center" wrapText="1"/>
      <protection/>
    </xf>
    <xf numFmtId="174" fontId="11" fillId="0" borderId="20" xfId="127" applyNumberFormat="1" applyFont="1" applyFill="1" applyBorder="1" applyAlignment="1" applyProtection="1">
      <alignment horizontal="center" vertical="center"/>
      <protection/>
    </xf>
    <xf numFmtId="172" fontId="11" fillId="0" borderId="20" xfId="127" applyNumberFormat="1" applyFont="1" applyFill="1" applyBorder="1" applyAlignment="1" applyProtection="1">
      <alignment horizontal="center" vertical="center"/>
      <protection/>
    </xf>
    <xf numFmtId="186" fontId="24" fillId="0" borderId="21" xfId="127" applyNumberFormat="1" applyFont="1" applyFill="1" applyBorder="1" applyAlignment="1" applyProtection="1">
      <alignment horizontal="center" vertical="center"/>
      <protection/>
    </xf>
    <xf numFmtId="172" fontId="11" fillId="0" borderId="22" xfId="127" applyNumberFormat="1" applyFont="1" applyFill="1" applyBorder="1" applyAlignment="1" applyProtection="1">
      <alignment horizontal="center" vertical="center"/>
      <protection/>
    </xf>
    <xf numFmtId="0" fontId="24" fillId="0" borderId="0" xfId="127" applyFont="1" applyBorder="1" applyAlignment="1" applyProtection="1">
      <alignment horizontal="right" vertical="center"/>
      <protection/>
    </xf>
    <xf numFmtId="0" fontId="3" fillId="0" borderId="14" xfId="127" applyBorder="1" applyAlignment="1">
      <alignment vertical="center"/>
      <protection/>
    </xf>
    <xf numFmtId="0" fontId="3" fillId="0" borderId="14" xfId="127" applyBorder="1">
      <alignment/>
      <protection/>
    </xf>
    <xf numFmtId="0" fontId="24" fillId="0" borderId="14" xfId="127" applyFont="1" applyBorder="1" applyAlignment="1" applyProtection="1">
      <alignment horizontal="right" vertical="center"/>
      <protection/>
    </xf>
    <xf numFmtId="174" fontId="24" fillId="0" borderId="14" xfId="127" applyNumberFormat="1" applyFont="1" applyFill="1" applyBorder="1" applyAlignment="1" applyProtection="1">
      <alignment vertical="center"/>
      <protection/>
    </xf>
    <xf numFmtId="169" fontId="3" fillId="0" borderId="14" xfId="127" applyNumberFormat="1" applyFont="1" applyBorder="1">
      <alignment/>
      <protection/>
    </xf>
    <xf numFmtId="0" fontId="3" fillId="0" borderId="14" xfId="127" applyFont="1" applyBorder="1">
      <alignment/>
      <protection/>
    </xf>
    <xf numFmtId="164" fontId="0" fillId="0" borderId="0" xfId="139" applyAlignment="1">
      <alignment/>
      <protection/>
    </xf>
    <xf numFmtId="0" fontId="51" fillId="0" borderId="0" xfId="140" applyFont="1" applyAlignment="1">
      <alignment horizontal="center"/>
      <protection/>
    </xf>
    <xf numFmtId="0" fontId="52" fillId="0" borderId="0" xfId="140" applyFont="1" applyAlignment="1">
      <alignment horizontal="center"/>
      <protection/>
    </xf>
    <xf numFmtId="0" fontId="53" fillId="0" borderId="0" xfId="140" applyFont="1" applyAlignment="1">
      <alignment horizontal="center"/>
      <protection/>
    </xf>
    <xf numFmtId="0" fontId="54" fillId="0" borderId="0" xfId="140" applyFont="1" applyAlignment="1">
      <alignment horizontal="center"/>
      <protection/>
    </xf>
    <xf numFmtId="0" fontId="55" fillId="0" borderId="0" xfId="140" applyFont="1" applyAlignment="1">
      <alignment horizontal="center"/>
      <protection/>
    </xf>
    <xf numFmtId="164" fontId="19" fillId="0" borderId="0" xfId="139" applyFont="1" applyAlignment="1">
      <alignment/>
      <protection/>
    </xf>
    <xf numFmtId="0" fontId="56" fillId="0" borderId="0" xfId="140" applyFont="1" applyAlignment="1">
      <alignment horizontal="center"/>
      <protection/>
    </xf>
    <xf numFmtId="0" fontId="57" fillId="0" borderId="0" xfId="140" applyFont="1" applyBorder="1" applyAlignment="1">
      <alignment horizontal="center"/>
      <protection/>
    </xf>
    <xf numFmtId="0" fontId="19" fillId="0" borderId="0" xfId="140" applyFont="1">
      <alignment/>
      <protection/>
    </xf>
    <xf numFmtId="0" fontId="57" fillId="0" borderId="0" xfId="140" applyFont="1" applyAlignment="1">
      <alignment horizontal="center"/>
      <protection/>
    </xf>
    <xf numFmtId="164" fontId="19" fillId="0" borderId="0" xfId="139" applyFont="1" applyBorder="1" applyAlignment="1">
      <alignment horizontal="center"/>
      <protection/>
    </xf>
    <xf numFmtId="164" fontId="19" fillId="0" borderId="0" xfId="139" applyFont="1" applyAlignment="1">
      <alignment horizontal="center"/>
      <protection/>
    </xf>
    <xf numFmtId="0" fontId="58" fillId="0" borderId="0" xfId="140" applyFont="1" applyAlignment="1">
      <alignment horizontal="center"/>
      <protection/>
    </xf>
    <xf numFmtId="164" fontId="20" fillId="0" borderId="0" xfId="139" applyFont="1" applyBorder="1" applyAlignment="1">
      <alignment horizontal="center"/>
      <protection/>
    </xf>
    <xf numFmtId="170" fontId="31" fillId="0" borderId="0" xfId="140" applyNumberFormat="1" applyFont="1" applyBorder="1" applyAlignment="1">
      <alignment horizontal="center"/>
      <protection/>
    </xf>
    <xf numFmtId="164" fontId="19" fillId="0" borderId="23" xfId="139" applyFont="1" applyBorder="1" applyAlignment="1">
      <alignment/>
      <protection/>
    </xf>
    <xf numFmtId="164" fontId="24" fillId="0" borderId="0" xfId="139" applyFont="1" applyAlignment="1">
      <alignment/>
      <protection/>
    </xf>
    <xf numFmtId="0" fontId="24" fillId="0" borderId="0" xfId="140" applyFont="1">
      <alignment/>
      <protection/>
    </xf>
    <xf numFmtId="164" fontId="0" fillId="0" borderId="0" xfId="139" applyFont="1" applyAlignment="1">
      <alignment/>
      <protection/>
    </xf>
    <xf numFmtId="0" fontId="4" fillId="0" borderId="0" xfId="140" applyFont="1">
      <alignment/>
      <protection/>
    </xf>
    <xf numFmtId="164" fontId="15" fillId="0" borderId="0" xfId="139" applyFont="1" applyAlignment="1">
      <alignment vertical="center" wrapText="1"/>
      <protection/>
    </xf>
    <xf numFmtId="164" fontId="16" fillId="0" borderId="0" xfId="139" applyFont="1" applyAlignment="1">
      <alignment horizontal="center" vertical="top"/>
      <protection/>
    </xf>
    <xf numFmtId="164" fontId="37" fillId="0" borderId="0" xfId="139" applyFont="1" applyAlignment="1">
      <alignment/>
      <protection/>
    </xf>
    <xf numFmtId="170" fontId="19" fillId="0" borderId="0" xfId="140" applyNumberFormat="1" applyFont="1" applyBorder="1" applyAlignment="1">
      <alignment horizontal="right"/>
      <protection/>
    </xf>
    <xf numFmtId="164" fontId="19" fillId="0" borderId="0" xfId="139" applyFont="1" applyBorder="1" applyAlignment="1">
      <alignment/>
      <protection/>
    </xf>
    <xf numFmtId="0" fontId="24" fillId="0" borderId="0" xfId="140" applyFont="1" applyBorder="1" applyAlignment="1">
      <alignment/>
      <protection/>
    </xf>
    <xf numFmtId="164" fontId="21" fillId="0" borderId="0" xfId="139" applyFont="1" applyBorder="1" applyAlignment="1">
      <alignment wrapText="1"/>
      <protection/>
    </xf>
    <xf numFmtId="0" fontId="59" fillId="0" borderId="0" xfId="140" applyFont="1" applyBorder="1" applyAlignment="1">
      <alignment/>
      <protection/>
    </xf>
    <xf numFmtId="0" fontId="24" fillId="0" borderId="0" xfId="140" applyFont="1" applyBorder="1" applyAlignment="1">
      <alignment horizontal="right"/>
      <protection/>
    </xf>
    <xf numFmtId="164" fontId="24" fillId="0" borderId="0" xfId="139" applyFont="1" applyAlignment="1">
      <alignment horizontal="right" vertical="top"/>
      <protection/>
    </xf>
    <xf numFmtId="0" fontId="24" fillId="0" borderId="0" xfId="140" applyFont="1" applyAlignment="1">
      <alignment horizontal="left" vertical="top" indent="1"/>
      <protection/>
    </xf>
    <xf numFmtId="0" fontId="24" fillId="0" borderId="0" xfId="140" applyFont="1" applyAlignment="1">
      <alignment vertical="top"/>
      <protection/>
    </xf>
    <xf numFmtId="0" fontId="24" fillId="0" borderId="0" xfId="140" applyFont="1" applyAlignment="1">
      <alignment horizontal="right" vertical="top"/>
      <protection/>
    </xf>
    <xf numFmtId="0" fontId="24" fillId="0" borderId="0" xfId="140" applyFont="1" applyAlignment="1">
      <alignment horizontal="right" vertical="top" wrapText="1"/>
      <protection/>
    </xf>
    <xf numFmtId="164" fontId="24" fillId="0" borderId="0" xfId="139" applyFont="1" applyAlignment="1">
      <alignment horizontal="right"/>
      <protection/>
    </xf>
    <xf numFmtId="164" fontId="24" fillId="0" borderId="0" xfId="139" applyFont="1" applyAlignment="1">
      <alignment horizontal="left" indent="1"/>
      <protection/>
    </xf>
    <xf numFmtId="164" fontId="59" fillId="0" borderId="0" xfId="139" applyFont="1" applyBorder="1" applyAlignment="1">
      <alignment/>
      <protection/>
    </xf>
    <xf numFmtId="164" fontId="19" fillId="0" borderId="0" xfId="139" applyFont="1" applyBorder="1" applyAlignment="1">
      <alignment horizontal="right"/>
      <protection/>
    </xf>
    <xf numFmtId="164" fontId="24" fillId="0" borderId="0" xfId="139" applyFont="1" applyAlignment="1">
      <alignment horizontal="left" vertical="top" indent="1"/>
      <protection/>
    </xf>
    <xf numFmtId="164" fontId="30" fillId="0" borderId="23" xfId="139" applyFont="1" applyBorder="1" applyAlignment="1">
      <alignment/>
      <protection/>
    </xf>
    <xf numFmtId="164" fontId="24" fillId="0" borderId="23" xfId="139" applyFont="1" applyBorder="1" applyAlignment="1">
      <alignment/>
      <protection/>
    </xf>
    <xf numFmtId="0" fontId="24" fillId="0" borderId="0" xfId="140" applyFont="1" applyBorder="1" applyAlignment="1">
      <alignment vertical="center" wrapText="1"/>
      <protection/>
    </xf>
    <xf numFmtId="0" fontId="24" fillId="0" borderId="0" xfId="140" applyFont="1" applyBorder="1" applyAlignment="1">
      <alignment horizontal="left" vertical="center" wrapText="1"/>
      <protection/>
    </xf>
    <xf numFmtId="0" fontId="24" fillId="0" borderId="0" xfId="140" applyFont="1" applyBorder="1" applyAlignment="1">
      <alignment horizontal="left" vertical="center" wrapText="1" indent="1"/>
      <protection/>
    </xf>
    <xf numFmtId="14" fontId="24" fillId="0" borderId="0" xfId="140" applyNumberFormat="1" applyFont="1" applyBorder="1" applyAlignment="1">
      <alignment horizontal="center" vertical="center" wrapText="1"/>
      <protection/>
    </xf>
    <xf numFmtId="164" fontId="60" fillId="0" borderId="0" xfId="0" applyFont="1" applyBorder="1" applyAlignment="1">
      <alignment horizontal="left" vertical="top" wrapText="1"/>
    </xf>
    <xf numFmtId="164" fontId="19" fillId="0" borderId="0" xfId="139" applyFont="1" applyAlignment="1">
      <alignment vertical="top"/>
      <protection/>
    </xf>
    <xf numFmtId="0" fontId="24" fillId="0" borderId="0" xfId="140" applyFont="1" applyBorder="1">
      <alignment/>
      <protection/>
    </xf>
    <xf numFmtId="0" fontId="24" fillId="0" borderId="0" xfId="140" applyFont="1" applyBorder="1" applyAlignment="1">
      <alignment horizontal="center" vertical="center"/>
      <protection/>
    </xf>
    <xf numFmtId="164" fontId="19" fillId="0" borderId="0" xfId="0" applyFont="1" applyAlignment="1">
      <alignment/>
    </xf>
    <xf numFmtId="164" fontId="62" fillId="0" borderId="0" xfId="0" applyFont="1" applyAlignment="1">
      <alignment horizontal="center"/>
    </xf>
    <xf numFmtId="164" fontId="24" fillId="0" borderId="0" xfId="0" applyFont="1" applyAlignment="1">
      <alignment/>
    </xf>
    <xf numFmtId="164" fontId="59" fillId="0" borderId="8" xfId="0" applyFont="1" applyBorder="1" applyAlignment="1">
      <alignment/>
    </xf>
    <xf numFmtId="164" fontId="19" fillId="0" borderId="8" xfId="0" applyFont="1" applyBorder="1" applyAlignment="1">
      <alignment/>
    </xf>
    <xf numFmtId="164" fontId="19" fillId="0" borderId="8" xfId="0" applyFont="1" applyBorder="1" applyAlignment="1">
      <alignment horizontal="right"/>
    </xf>
    <xf numFmtId="164" fontId="30" fillId="0" borderId="24" xfId="0" applyFont="1" applyBorder="1" applyAlignment="1">
      <alignment horizontal="center" vertical="center" wrapText="1"/>
    </xf>
    <xf numFmtId="164" fontId="24" fillId="0" borderId="20" xfId="0" applyFont="1" applyBorder="1" applyAlignment="1">
      <alignment horizontal="center" vertical="center"/>
    </xf>
    <xf numFmtId="164" fontId="24" fillId="0" borderId="0" xfId="0" applyFont="1" applyBorder="1" applyAlignment="1">
      <alignment horizontal="center" vertical="center" wrapText="1"/>
    </xf>
    <xf numFmtId="164" fontId="24" fillId="0" borderId="0" xfId="0" applyFont="1" applyAlignment="1">
      <alignment vertical="top" wrapText="1"/>
    </xf>
    <xf numFmtId="164" fontId="30" fillId="0" borderId="25" xfId="0" applyFont="1" applyBorder="1" applyAlignment="1">
      <alignment horizontal="center" vertical="center" wrapText="1"/>
    </xf>
    <xf numFmtId="164" fontId="30" fillId="0" borderId="26" xfId="0" applyFont="1" applyBorder="1" applyAlignment="1">
      <alignment horizontal="center" vertical="center" wrapText="1"/>
    </xf>
    <xf numFmtId="164" fontId="24" fillId="0" borderId="8" xfId="0" applyFont="1" applyBorder="1" applyAlignment="1">
      <alignment vertical="top" wrapText="1"/>
    </xf>
    <xf numFmtId="164" fontId="24" fillId="0" borderId="27" xfId="0" applyFont="1" applyBorder="1" applyAlignment="1">
      <alignment horizontal="center" vertical="center"/>
    </xf>
    <xf numFmtId="164" fontId="11" fillId="0" borderId="13" xfId="0" applyFont="1" applyBorder="1" applyAlignment="1">
      <alignment horizontal="right" vertical="center" wrapText="1" indent="6"/>
    </xf>
    <xf numFmtId="0" fontId="3" fillId="45" borderId="24" xfId="128" applyFont="1" applyFill="1" applyBorder="1" applyAlignment="1" applyProtection="1">
      <alignment horizontal="center" vertical="center"/>
      <protection/>
    </xf>
    <xf numFmtId="164" fontId="19" fillId="0" borderId="0" xfId="139" applyFont="1" applyBorder="1" applyAlignment="1">
      <alignment vertical="top" wrapText="1"/>
      <protection/>
    </xf>
    <xf numFmtId="164" fontId="19" fillId="0" borderId="0" xfId="139" applyFont="1" applyBorder="1" applyAlignment="1">
      <alignment horizontal="center" vertical="center"/>
      <protection/>
    </xf>
    <xf numFmtId="164" fontId="25" fillId="0" borderId="0" xfId="0" applyFont="1" applyAlignment="1">
      <alignment/>
    </xf>
    <xf numFmtId="14" fontId="25" fillId="0" borderId="0" xfId="0" applyNumberFormat="1" applyFont="1" applyAlignment="1">
      <alignment/>
    </xf>
    <xf numFmtId="164" fontId="30" fillId="0" borderId="28" xfId="139" applyFont="1" applyBorder="1" applyAlignment="1">
      <alignment/>
      <protection/>
    </xf>
    <xf numFmtId="164" fontId="30" fillId="0" borderId="28" xfId="139" applyFont="1" applyBorder="1" applyAlignment="1">
      <alignment horizontal="left"/>
      <protection/>
    </xf>
    <xf numFmtId="164" fontId="30" fillId="0" borderId="28" xfId="139" applyFont="1" applyBorder="1" applyAlignment="1">
      <alignment horizontal="center"/>
      <protection/>
    </xf>
    <xf numFmtId="0" fontId="19" fillId="0" borderId="8" xfId="127" applyFont="1" applyBorder="1" applyAlignment="1" applyProtection="1" quotePrefix="1">
      <alignment horizontal="right" vertical="center"/>
      <protection/>
    </xf>
    <xf numFmtId="164" fontId="19" fillId="0" borderId="0" xfId="0" applyFont="1" applyFill="1" applyAlignment="1">
      <alignment/>
    </xf>
    <xf numFmtId="0" fontId="19" fillId="0" borderId="0" xfId="127" applyFont="1" applyBorder="1" applyAlignment="1" applyProtection="1" quotePrefix="1">
      <alignment horizontal="right" vertical="center"/>
      <protection/>
    </xf>
    <xf numFmtId="164" fontId="19" fillId="0" borderId="0" xfId="0" applyFont="1" applyFill="1" applyAlignment="1">
      <alignment vertical="center"/>
    </xf>
    <xf numFmtId="164" fontId="37" fillId="0" borderId="8" xfId="0" applyFont="1" applyFill="1" applyBorder="1" applyAlignment="1">
      <alignment/>
    </xf>
    <xf numFmtId="164" fontId="19" fillId="0" borderId="8" xfId="0" applyFont="1" applyFill="1" applyBorder="1" applyAlignment="1">
      <alignment/>
    </xf>
    <xf numFmtId="164" fontId="19" fillId="0" borderId="0" xfId="0" applyFont="1" applyFill="1" applyBorder="1" applyAlignment="1">
      <alignment/>
    </xf>
    <xf numFmtId="14" fontId="19" fillId="0" borderId="0" xfId="0" applyNumberFormat="1" applyFont="1" applyFill="1" applyBorder="1" applyAlignment="1">
      <alignment horizontal="center" vertical="top"/>
    </xf>
    <xf numFmtId="164" fontId="19" fillId="0" borderId="0" xfId="0" applyFont="1" applyFill="1" applyBorder="1" applyAlignment="1">
      <alignment vertical="top" wrapText="1"/>
    </xf>
    <xf numFmtId="164" fontId="19" fillId="0" borderId="0" xfId="0" applyFont="1" applyFill="1" applyBorder="1" applyAlignment="1">
      <alignment horizontal="center" vertical="top"/>
    </xf>
    <xf numFmtId="164" fontId="32" fillId="46" borderId="0" xfId="0" applyFont="1" applyFill="1" applyAlignment="1">
      <alignment/>
    </xf>
    <xf numFmtId="164" fontId="25" fillId="0" borderId="29" xfId="0" applyFont="1" applyFill="1" applyBorder="1" applyAlignment="1" applyProtection="1">
      <alignment horizontal="left" vertical="center" indent="1"/>
      <protection locked="0"/>
    </xf>
    <xf numFmtId="0" fontId="25" fillId="0" borderId="29" xfId="128" applyFont="1" applyFill="1" applyBorder="1" applyAlignment="1" applyProtection="1">
      <alignment horizontal="left" vertical="center" indent="1"/>
      <protection locked="0"/>
    </xf>
    <xf numFmtId="164" fontId="25" fillId="0" borderId="11" xfId="0" applyFont="1" applyFill="1" applyBorder="1" applyAlignment="1" applyProtection="1">
      <alignment horizontal="center" vertical="center"/>
      <protection locked="0"/>
    </xf>
    <xf numFmtId="164" fontId="25" fillId="0" borderId="20" xfId="0" applyFont="1" applyFill="1" applyBorder="1" applyAlignment="1" applyProtection="1">
      <alignment horizontal="center" vertical="center"/>
      <protection locked="0"/>
    </xf>
    <xf numFmtId="164" fontId="25" fillId="0" borderId="17" xfId="0" applyFont="1" applyFill="1" applyBorder="1" applyAlignment="1" applyProtection="1">
      <alignment horizontal="center" vertical="center"/>
      <protection locked="0"/>
    </xf>
    <xf numFmtId="164" fontId="25" fillId="0" borderId="22" xfId="0" applyFont="1" applyFill="1" applyBorder="1" applyAlignment="1" applyProtection="1">
      <alignment horizontal="center" vertical="center"/>
      <protection locked="0"/>
    </xf>
    <xf numFmtId="164" fontId="25" fillId="0" borderId="29" xfId="0" applyFont="1" applyFill="1" applyBorder="1" applyAlignment="1" applyProtection="1">
      <alignment horizontal="center" vertical="center"/>
      <protection locked="0"/>
    </xf>
    <xf numFmtId="0" fontId="4" fillId="0" borderId="0" xfId="128" applyFont="1" applyBorder="1" applyAlignment="1" applyProtection="1">
      <alignment vertical="center"/>
      <protection/>
    </xf>
    <xf numFmtId="164" fontId="4" fillId="0" borderId="30" xfId="0" applyFont="1" applyBorder="1" applyAlignment="1" applyProtection="1">
      <alignment vertical="center"/>
      <protection/>
    </xf>
    <xf numFmtId="0" fontId="3" fillId="0" borderId="0" xfId="128" applyBorder="1" applyAlignment="1" applyProtection="1">
      <alignment vertical="center"/>
      <protection/>
    </xf>
    <xf numFmtId="0" fontId="19" fillId="0" borderId="8" xfId="128" applyFont="1" applyBorder="1" applyProtection="1">
      <alignment/>
      <protection/>
    </xf>
    <xf numFmtId="0" fontId="24" fillId="0" borderId="8" xfId="128" applyFont="1" applyBorder="1" applyProtection="1">
      <alignment/>
      <protection/>
    </xf>
    <xf numFmtId="14" fontId="3" fillId="0" borderId="0" xfId="128" applyNumberFormat="1" applyAlignment="1" applyProtection="1">
      <alignment vertical="center"/>
      <protection/>
    </xf>
    <xf numFmtId="0" fontId="19" fillId="47" borderId="0" xfId="137" applyFont="1" applyFill="1" applyBorder="1">
      <alignment/>
      <protection/>
    </xf>
    <xf numFmtId="0" fontId="19" fillId="48" borderId="0" xfId="137" applyFont="1" applyFill="1" applyBorder="1" applyAlignment="1">
      <alignment horizontal="center"/>
      <protection/>
    </xf>
    <xf numFmtId="0" fontId="23" fillId="49" borderId="0" xfId="127" applyFont="1" applyFill="1" applyBorder="1" applyAlignment="1">
      <alignment horizontal="left" vertical="center"/>
      <protection/>
    </xf>
    <xf numFmtId="0" fontId="23" fillId="50" borderId="0" xfId="127" applyFont="1" applyFill="1" applyBorder="1" applyAlignment="1">
      <alignment horizontal="left" vertical="center" indent="1"/>
      <protection/>
    </xf>
    <xf numFmtId="0" fontId="20" fillId="51" borderId="0" xfId="128" applyFont="1" applyFill="1" applyBorder="1" applyAlignment="1" applyProtection="1">
      <alignment horizontal="center" vertical="center" wrapText="1"/>
      <protection/>
    </xf>
    <xf numFmtId="0" fontId="23" fillId="52" borderId="0" xfId="127" applyFont="1" applyFill="1" applyBorder="1" applyAlignment="1">
      <alignment horizontal="left" vertical="center"/>
      <protection/>
    </xf>
    <xf numFmtId="164" fontId="19" fillId="0" borderId="0" xfId="0" applyFont="1" applyFill="1" applyBorder="1" applyAlignment="1">
      <alignment vertical="top"/>
    </xf>
    <xf numFmtId="14" fontId="19" fillId="0" borderId="0" xfId="0" applyNumberFormat="1" applyFont="1" applyFill="1" applyBorder="1" applyAlignment="1">
      <alignment vertical="top"/>
    </xf>
    <xf numFmtId="0" fontId="19" fillId="0" borderId="0" xfId="138" applyNumberFormat="1" applyFont="1" applyFill="1" applyBorder="1" applyAlignment="1">
      <alignment horizontal="center" vertical="top" wrapText="1"/>
      <protection/>
    </xf>
    <xf numFmtId="0" fontId="19" fillId="0" borderId="0" xfId="138" applyFont="1" applyFill="1" applyBorder="1" applyAlignment="1">
      <alignment vertical="top" wrapText="1"/>
      <protection/>
    </xf>
    <xf numFmtId="0" fontId="19" fillId="0" borderId="0" xfId="138" applyNumberFormat="1" applyFont="1" applyFill="1" applyAlignment="1">
      <alignment horizontal="center" vertical="top" wrapText="1"/>
      <protection/>
    </xf>
    <xf numFmtId="164" fontId="25" fillId="0" borderId="21" xfId="0" applyFont="1" applyFill="1" applyBorder="1" applyAlignment="1" applyProtection="1">
      <alignment horizontal="left" vertical="center" indent="1"/>
      <protection locked="0"/>
    </xf>
    <xf numFmtId="14" fontId="19" fillId="0" borderId="0" xfId="0" applyNumberFormat="1" applyFont="1" applyFill="1" applyBorder="1" applyAlignment="1">
      <alignment horizontal="center" vertical="top"/>
    </xf>
    <xf numFmtId="164" fontId="19" fillId="0" borderId="0" xfId="0" applyFont="1" applyFill="1" applyBorder="1" applyAlignment="1">
      <alignment horizontal="center" vertical="top"/>
    </xf>
    <xf numFmtId="14" fontId="19" fillId="0" borderId="0" xfId="0" applyNumberFormat="1" applyFont="1" applyFill="1" applyBorder="1" applyAlignment="1">
      <alignment horizontal="center" vertical="top"/>
    </xf>
    <xf numFmtId="0" fontId="3" fillId="0" borderId="0" xfId="128" applyFont="1" applyFill="1" applyBorder="1" applyAlignment="1" applyProtection="1">
      <alignment horizontal="center" vertical="center"/>
      <protection/>
    </xf>
    <xf numFmtId="0" fontId="24" fillId="0" borderId="0" xfId="128" applyFont="1" applyFill="1" applyBorder="1" applyAlignment="1" applyProtection="1">
      <alignment horizontal="right" vertical="center" indent="1"/>
      <protection/>
    </xf>
    <xf numFmtId="164" fontId="24" fillId="0" borderId="0" xfId="0" applyFont="1" applyFill="1" applyBorder="1" applyAlignment="1" applyProtection="1">
      <alignment horizontal="right" vertical="center" indent="1"/>
      <protection/>
    </xf>
    <xf numFmtId="164" fontId="21" fillId="0" borderId="0" xfId="0" applyFont="1" applyAlignment="1">
      <alignment/>
    </xf>
    <xf numFmtId="0" fontId="24" fillId="0" borderId="8" xfId="128" applyFont="1" applyFill="1" applyBorder="1" applyAlignment="1" applyProtection="1">
      <alignment horizontal="right" vertical="center" indent="1"/>
      <protection/>
    </xf>
    <xf numFmtId="164" fontId="24" fillId="0" borderId="8" xfId="0" applyFont="1" applyFill="1" applyBorder="1" applyAlignment="1" applyProtection="1">
      <alignment horizontal="right" vertical="center" indent="1"/>
      <protection/>
    </xf>
    <xf numFmtId="164" fontId="21" fillId="0" borderId="24" xfId="0" applyFont="1" applyFill="1" applyBorder="1" applyAlignment="1" applyProtection="1">
      <alignment horizontal="center" vertical="center"/>
      <protection locked="0"/>
    </xf>
    <xf numFmtId="0" fontId="3" fillId="0" borderId="0" xfId="108">
      <alignment/>
      <protection/>
    </xf>
    <xf numFmtId="0" fontId="3" fillId="0" borderId="0" xfId="108" applyAlignment="1">
      <alignment horizontal="center" vertical="top"/>
      <protection/>
    </xf>
    <xf numFmtId="0" fontId="3" fillId="0" borderId="0" xfId="108" applyAlignment="1">
      <alignment/>
      <protection/>
    </xf>
    <xf numFmtId="0" fontId="94" fillId="10" borderId="31" xfId="23" applyBorder="1" applyAlignment="1" applyProtection="1">
      <alignment horizontal="left" vertical="top" wrapText="1"/>
      <protection locked="0"/>
    </xf>
    <xf numFmtId="0" fontId="94" fillId="10" borderId="31" xfId="23" applyBorder="1" applyAlignment="1" applyProtection="1">
      <alignment horizontal="center" vertical="top"/>
      <protection locked="0"/>
    </xf>
    <xf numFmtId="0" fontId="94" fillId="10" borderId="32" xfId="23" applyBorder="1" applyAlignment="1">
      <alignment vertical="top" wrapText="1"/>
    </xf>
    <xf numFmtId="0" fontId="94" fillId="19" borderId="33" xfId="33" applyBorder="1" applyAlignment="1" applyProtection="1">
      <alignment horizontal="left" vertical="top" wrapText="1"/>
      <protection locked="0"/>
    </xf>
    <xf numFmtId="0" fontId="94" fillId="19" borderId="33" xfId="33" applyBorder="1" applyAlignment="1" applyProtection="1">
      <alignment horizontal="center" vertical="top"/>
      <protection locked="0"/>
    </xf>
    <xf numFmtId="0" fontId="94" fillId="19" borderId="34" xfId="33" applyBorder="1" applyAlignment="1">
      <alignment vertical="top" wrapText="1"/>
    </xf>
    <xf numFmtId="0" fontId="94" fillId="10" borderId="33" xfId="23" applyBorder="1" applyAlignment="1" applyProtection="1">
      <alignment horizontal="left" vertical="top" wrapText="1"/>
      <protection locked="0"/>
    </xf>
    <xf numFmtId="0" fontId="94" fillId="10" borderId="33" xfId="23" applyBorder="1" applyAlignment="1" applyProtection="1">
      <alignment horizontal="center" vertical="top"/>
      <protection locked="0"/>
    </xf>
    <xf numFmtId="0" fontId="94" fillId="10" borderId="34" xfId="23" applyBorder="1" applyAlignment="1">
      <alignment vertical="top" wrapText="1"/>
    </xf>
    <xf numFmtId="0" fontId="94" fillId="19" borderId="35" xfId="33" applyBorder="1" applyAlignment="1" applyProtection="1">
      <alignment horizontal="center" vertical="top"/>
      <protection locked="0"/>
    </xf>
    <xf numFmtId="0" fontId="94" fillId="19" borderId="36" xfId="33" applyBorder="1" applyAlignment="1">
      <alignment vertical="top" wrapText="1"/>
    </xf>
    <xf numFmtId="0" fontId="94" fillId="11" borderId="37" xfId="24" applyBorder="1" applyAlignment="1" applyProtection="1">
      <alignment horizontal="left" vertical="top" wrapText="1"/>
      <protection locked="0"/>
    </xf>
    <xf numFmtId="0" fontId="94" fillId="11" borderId="35" xfId="24" applyBorder="1" applyAlignment="1" applyProtection="1">
      <alignment horizontal="center" vertical="top"/>
      <protection locked="0"/>
    </xf>
    <xf numFmtId="0" fontId="94" fillId="11" borderId="34" xfId="24" applyBorder="1" applyAlignment="1">
      <alignment vertical="top" wrapText="1"/>
    </xf>
    <xf numFmtId="0" fontId="95" fillId="36" borderId="38" xfId="52" applyBorder="1" applyAlignment="1">
      <alignment horizontal="center" vertical="center" textRotation="90" wrapText="1"/>
    </xf>
    <xf numFmtId="0" fontId="94" fillId="17" borderId="35" xfId="31" applyBorder="1" applyAlignment="1" applyProtection="1">
      <alignment horizontal="left" vertical="top" wrapText="1"/>
      <protection locked="0"/>
    </xf>
    <xf numFmtId="0" fontId="94" fillId="17" borderId="35" xfId="31" applyBorder="1" applyAlignment="1" applyProtection="1">
      <alignment horizontal="center" vertical="top"/>
      <protection locked="0"/>
    </xf>
    <xf numFmtId="0" fontId="94" fillId="17" borderId="38" xfId="31" applyBorder="1" applyAlignment="1">
      <alignment vertical="top" wrapText="1"/>
    </xf>
    <xf numFmtId="0" fontId="95" fillId="33" borderId="36" xfId="49" applyBorder="1" applyAlignment="1">
      <alignment horizontal="center" vertical="center" textRotation="90" wrapText="1"/>
    </xf>
    <xf numFmtId="0" fontId="94" fillId="6" borderId="31" xfId="19" applyBorder="1" applyAlignment="1" applyProtection="1">
      <alignment horizontal="left" vertical="top" wrapText="1"/>
      <protection locked="0"/>
    </xf>
    <xf numFmtId="0" fontId="94" fillId="6" borderId="33" xfId="19" applyBorder="1" applyAlignment="1" applyProtection="1">
      <alignment horizontal="center" vertical="top"/>
      <protection locked="0"/>
    </xf>
    <xf numFmtId="0" fontId="94" fillId="6" borderId="32" xfId="19" applyBorder="1" applyAlignment="1">
      <alignment vertical="top" wrapText="1"/>
    </xf>
    <xf numFmtId="0" fontId="94" fillId="15" borderId="33" xfId="29" applyBorder="1" applyAlignment="1" applyProtection="1">
      <alignment horizontal="left" vertical="top" wrapText="1"/>
      <protection locked="0"/>
    </xf>
    <xf numFmtId="0" fontId="94" fillId="15" borderId="33" xfId="29" applyBorder="1" applyAlignment="1" applyProtection="1">
      <alignment horizontal="center" vertical="top"/>
      <protection locked="0"/>
    </xf>
    <xf numFmtId="0" fontId="94" fillId="15" borderId="34" xfId="29" applyBorder="1" applyAlignment="1">
      <alignment vertical="top" wrapText="1"/>
    </xf>
    <xf numFmtId="0" fontId="94" fillId="2" borderId="31" xfId="15" applyBorder="1" applyAlignment="1" applyProtection="1">
      <alignment horizontal="left" vertical="top" wrapText="1"/>
      <protection locked="0"/>
    </xf>
    <xf numFmtId="0" fontId="94" fillId="2" borderId="31" xfId="15" applyBorder="1" applyAlignment="1" applyProtection="1">
      <alignment horizontal="center" vertical="top"/>
      <protection locked="0"/>
    </xf>
    <xf numFmtId="0" fontId="94" fillId="2" borderId="32" xfId="15" applyBorder="1" applyAlignment="1">
      <alignment vertical="top" wrapText="1"/>
    </xf>
    <xf numFmtId="0" fontId="94" fillId="12" borderId="33" xfId="26" applyBorder="1" applyAlignment="1" applyProtection="1">
      <alignment horizontal="left" vertical="top" wrapText="1"/>
      <protection locked="0"/>
    </xf>
    <xf numFmtId="0" fontId="94" fillId="12" borderId="33" xfId="26" applyBorder="1" applyAlignment="1" applyProtection="1">
      <alignment horizontal="center" vertical="top"/>
      <protection locked="0"/>
    </xf>
    <xf numFmtId="0" fontId="94" fillId="12" borderId="34" xfId="26" applyBorder="1" applyAlignment="1">
      <alignment vertical="top" wrapText="1"/>
    </xf>
    <xf numFmtId="0" fontId="94" fillId="2" borderId="33" xfId="15" applyBorder="1" applyAlignment="1" applyProtection="1">
      <alignment horizontal="left" vertical="top" wrapText="1"/>
      <protection locked="0"/>
    </xf>
    <xf numFmtId="0" fontId="94" fillId="2" borderId="33" xfId="15" applyBorder="1" applyAlignment="1" applyProtection="1">
      <alignment horizontal="center" vertical="top"/>
      <protection locked="0"/>
    </xf>
    <xf numFmtId="0" fontId="94" fillId="2" borderId="34" xfId="15" applyBorder="1" applyAlignment="1">
      <alignment vertical="top" wrapText="1"/>
    </xf>
    <xf numFmtId="0" fontId="94" fillId="12" borderId="35" xfId="26" applyBorder="1" applyAlignment="1" applyProtection="1">
      <alignment horizontal="center" vertical="top"/>
      <protection locked="0"/>
    </xf>
    <xf numFmtId="0" fontId="94" fillId="12" borderId="36" xfId="26" applyBorder="1" applyAlignment="1">
      <alignment vertical="top" wrapText="1"/>
    </xf>
    <xf numFmtId="0" fontId="94" fillId="4" borderId="31" xfId="17" applyBorder="1" applyAlignment="1" applyProtection="1">
      <alignment horizontal="left" vertical="top" wrapText="1"/>
      <protection locked="0"/>
    </xf>
    <xf numFmtId="0" fontId="94" fillId="4" borderId="31" xfId="17" applyBorder="1" applyAlignment="1" applyProtection="1">
      <alignment horizontal="center" vertical="top"/>
      <protection locked="0"/>
    </xf>
    <xf numFmtId="0" fontId="94" fillId="4" borderId="32" xfId="17" applyBorder="1" applyAlignment="1">
      <alignment vertical="top" wrapText="1"/>
    </xf>
    <xf numFmtId="0" fontId="94" fillId="14" borderId="33" xfId="28" applyBorder="1" applyAlignment="1" applyProtection="1">
      <alignment horizontal="left" vertical="top" wrapText="1"/>
      <protection locked="0"/>
    </xf>
    <xf numFmtId="0" fontId="94" fillId="14" borderId="33" xfId="28" applyBorder="1" applyAlignment="1" applyProtection="1">
      <alignment horizontal="center" vertical="top"/>
      <protection locked="0"/>
    </xf>
    <xf numFmtId="0" fontId="94" fillId="14" borderId="34" xfId="28" applyBorder="1" applyAlignment="1">
      <alignment vertical="top" wrapText="1"/>
    </xf>
    <xf numFmtId="0" fontId="94" fillId="4" borderId="33" xfId="17" applyBorder="1" applyAlignment="1" applyProtection="1">
      <alignment horizontal="left" vertical="top" wrapText="1"/>
      <protection locked="0"/>
    </xf>
    <xf numFmtId="0" fontId="94" fillId="4" borderId="33" xfId="17" applyBorder="1" applyAlignment="1" applyProtection="1">
      <alignment horizontal="center" vertical="top"/>
      <protection locked="0"/>
    </xf>
    <xf numFmtId="0" fontId="94" fillId="4" borderId="34" xfId="17" applyBorder="1" applyAlignment="1">
      <alignment vertical="top" wrapText="1"/>
    </xf>
    <xf numFmtId="0" fontId="94" fillId="19" borderId="31" xfId="33" applyBorder="1" applyAlignment="1" applyProtection="1">
      <alignment vertical="top" wrapText="1"/>
      <protection locked="0"/>
    </xf>
    <xf numFmtId="0" fontId="94" fillId="19" borderId="31" xfId="33" applyBorder="1" applyAlignment="1" applyProtection="1">
      <alignment horizontal="center" vertical="top"/>
      <protection locked="0"/>
    </xf>
    <xf numFmtId="0" fontId="94" fillId="19" borderId="32" xfId="33" applyBorder="1" applyAlignment="1">
      <alignment vertical="top" wrapText="1"/>
    </xf>
    <xf numFmtId="0" fontId="94" fillId="10" borderId="33" xfId="23" applyBorder="1" applyAlignment="1" applyProtection="1">
      <alignment vertical="top" wrapText="1"/>
      <protection locked="0"/>
    </xf>
    <xf numFmtId="0" fontId="94" fillId="19" borderId="35" xfId="33" applyBorder="1" applyAlignment="1" applyProtection="1">
      <alignment vertical="top" wrapText="1"/>
      <protection locked="0"/>
    </xf>
    <xf numFmtId="0" fontId="94" fillId="11" borderId="31" xfId="24" applyBorder="1" applyAlignment="1" applyProtection="1">
      <alignment horizontal="left" vertical="top" wrapText="1"/>
      <protection locked="0"/>
    </xf>
    <xf numFmtId="0" fontId="94" fillId="11" borderId="33" xfId="24" applyBorder="1" applyAlignment="1" applyProtection="1">
      <alignment horizontal="center" vertical="top"/>
      <protection locked="0"/>
    </xf>
    <xf numFmtId="0" fontId="94" fillId="11" borderId="32" xfId="24" applyBorder="1" applyAlignment="1">
      <alignment vertical="top" wrapText="1"/>
    </xf>
    <xf numFmtId="0" fontId="94" fillId="20" borderId="33" xfId="35" applyBorder="1" applyAlignment="1" applyProtection="1">
      <alignment horizontal="left" vertical="top" wrapText="1"/>
      <protection locked="0"/>
    </xf>
    <xf numFmtId="0" fontId="94" fillId="20" borderId="33" xfId="35" applyBorder="1" applyAlignment="1" applyProtection="1">
      <alignment horizontal="center" vertical="top"/>
      <protection locked="0"/>
    </xf>
    <xf numFmtId="0" fontId="94" fillId="20" borderId="34" xfId="35" applyBorder="1" applyAlignment="1">
      <alignment vertical="top" wrapText="1"/>
    </xf>
    <xf numFmtId="0" fontId="94" fillId="11" borderId="33" xfId="24" applyBorder="1" applyAlignment="1" applyProtection="1">
      <alignment horizontal="left" vertical="top" wrapText="1"/>
      <protection locked="0"/>
    </xf>
    <xf numFmtId="0" fontId="94" fillId="8" borderId="33" xfId="21" applyBorder="1" applyAlignment="1" applyProtection="1">
      <alignment horizontal="left" vertical="top" wrapText="1"/>
      <protection locked="0"/>
    </xf>
    <xf numFmtId="0" fontId="94" fillId="8" borderId="33" xfId="21" applyBorder="1" applyAlignment="1" applyProtection="1">
      <alignment horizontal="center" vertical="top"/>
      <protection locked="0"/>
    </xf>
    <xf numFmtId="0" fontId="94" fillId="8" borderId="34" xfId="21" applyBorder="1" applyAlignment="1">
      <alignment vertical="top" wrapText="1"/>
    </xf>
    <xf numFmtId="0" fontId="94" fillId="17" borderId="33" xfId="31" applyBorder="1" applyAlignment="1" applyProtection="1">
      <alignment horizontal="left" vertical="top" wrapText="1"/>
      <protection locked="0"/>
    </xf>
    <xf numFmtId="0" fontId="94" fillId="17" borderId="33" xfId="31" applyBorder="1" applyAlignment="1" applyProtection="1">
      <alignment horizontal="center" vertical="top"/>
      <protection locked="0"/>
    </xf>
    <xf numFmtId="0" fontId="94" fillId="17" borderId="34" xfId="31" applyBorder="1" applyAlignment="1">
      <alignment vertical="top" wrapText="1"/>
    </xf>
    <xf numFmtId="0" fontId="94" fillId="15" borderId="31" xfId="29" applyBorder="1" applyAlignment="1" applyProtection="1">
      <alignment horizontal="left" vertical="top" wrapText="1"/>
      <protection locked="0"/>
    </xf>
    <xf numFmtId="0" fontId="94" fillId="15" borderId="31" xfId="29" applyBorder="1" applyAlignment="1" applyProtection="1">
      <alignment horizontal="center" vertical="top"/>
      <protection locked="0"/>
    </xf>
    <xf numFmtId="0" fontId="94" fillId="15" borderId="32" xfId="29" applyBorder="1" applyAlignment="1">
      <alignment vertical="top" wrapText="1"/>
    </xf>
    <xf numFmtId="0" fontId="94" fillId="6" borderId="33" xfId="19" applyBorder="1" applyAlignment="1" applyProtection="1">
      <alignment horizontal="left" vertical="top" wrapText="1"/>
      <protection locked="0"/>
    </xf>
    <xf numFmtId="0" fontId="94" fillId="6" borderId="34" xfId="19" applyBorder="1" applyAlignment="1">
      <alignment vertical="top" wrapText="1"/>
    </xf>
    <xf numFmtId="0" fontId="3" fillId="0" borderId="0" xfId="108" applyAlignment="1">
      <alignment vertical="center"/>
      <protection/>
    </xf>
    <xf numFmtId="0" fontId="105" fillId="44" borderId="37" xfId="144" applyFont="1" applyBorder="1" applyAlignment="1">
      <alignment horizontal="left" vertical="center"/>
    </xf>
    <xf numFmtId="0" fontId="105" fillId="44" borderId="37" xfId="144" applyFont="1" applyBorder="1" applyAlignment="1">
      <alignment horizontal="center" vertical="top"/>
    </xf>
    <xf numFmtId="0" fontId="105" fillId="44" borderId="37" xfId="144" applyFont="1" applyBorder="1" applyAlignment="1">
      <alignment vertical="center"/>
    </xf>
    <xf numFmtId="0" fontId="105" fillId="44" borderId="38" xfId="144" applyFont="1" applyBorder="1" applyAlignment="1">
      <alignment vertical="center"/>
    </xf>
    <xf numFmtId="0" fontId="19" fillId="0" borderId="0" xfId="108" applyFont="1">
      <alignment/>
      <protection/>
    </xf>
    <xf numFmtId="0" fontId="19" fillId="0" borderId="37" xfId="108" applyFont="1" applyBorder="1" applyAlignment="1" applyProtection="1">
      <alignment horizontal="left" vertical="top" indent="1"/>
      <protection locked="0"/>
    </xf>
    <xf numFmtId="0" fontId="19" fillId="0" borderId="37" xfId="108" applyFont="1" applyBorder="1" applyAlignment="1">
      <alignment horizontal="center" vertical="top" wrapText="1"/>
      <protection/>
    </xf>
    <xf numFmtId="0" fontId="19" fillId="0" borderId="38" xfId="108" applyFont="1" applyBorder="1" applyAlignment="1" applyProtection="1">
      <alignment horizontal="left" vertical="top" wrapText="1" indent="1"/>
      <protection locked="0"/>
    </xf>
    <xf numFmtId="170" fontId="19" fillId="0" borderId="37" xfId="108" applyNumberFormat="1" applyFont="1" applyBorder="1" applyAlignment="1" applyProtection="1">
      <alignment horizontal="left" vertical="top" indent="1"/>
      <protection locked="0"/>
    </xf>
    <xf numFmtId="0" fontId="19" fillId="0" borderId="0" xfId="108" applyFont="1" applyAlignment="1">
      <alignment horizontal="center" vertical="top"/>
      <protection/>
    </xf>
    <xf numFmtId="0" fontId="20" fillId="0" borderId="0" xfId="108" applyFont="1">
      <alignment/>
      <protection/>
    </xf>
    <xf numFmtId="0" fontId="24" fillId="0" borderId="0" xfId="108" applyFont="1">
      <alignment/>
      <protection/>
    </xf>
    <xf numFmtId="0" fontId="24" fillId="0" borderId="0" xfId="108" applyFont="1" applyAlignment="1">
      <alignment horizontal="center" vertical="top"/>
      <protection/>
    </xf>
    <xf numFmtId="0" fontId="22" fillId="0" borderId="0" xfId="108" applyFont="1">
      <alignment/>
      <protection/>
    </xf>
    <xf numFmtId="0" fontId="25" fillId="0" borderId="0" xfId="128" applyNumberFormat="1" applyFont="1" applyFill="1" applyBorder="1" applyAlignment="1" applyProtection="1">
      <alignment vertical="center"/>
      <protection/>
    </xf>
    <xf numFmtId="0" fontId="25" fillId="0" borderId="8" xfId="128" applyNumberFormat="1" applyFont="1" applyFill="1" applyBorder="1" applyAlignment="1" applyProtection="1">
      <alignment vertical="center"/>
      <protection/>
    </xf>
    <xf numFmtId="164" fontId="19" fillId="0" borderId="0" xfId="139" applyFont="1" applyFill="1" applyBorder="1" applyAlignment="1">
      <alignment vertical="top" wrapText="1"/>
      <protection/>
    </xf>
    <xf numFmtId="164" fontId="24" fillId="0" borderId="0" xfId="139" applyFont="1" applyBorder="1" applyAlignment="1">
      <alignment/>
      <protection/>
    </xf>
    <xf numFmtId="0" fontId="25" fillId="0" borderId="20" xfId="0" applyNumberFormat="1" applyFont="1" applyFill="1" applyBorder="1" applyAlignment="1" applyProtection="1">
      <alignment horizontal="center" vertical="center"/>
      <protection locked="0"/>
    </xf>
    <xf numFmtId="164" fontId="25" fillId="0" borderId="19" xfId="0" applyFont="1" applyFill="1" applyBorder="1" applyAlignment="1" applyProtection="1">
      <alignment horizontal="center" vertical="center"/>
      <protection locked="0"/>
    </xf>
    <xf numFmtId="164" fontId="19" fillId="0" borderId="0" xfId="0" applyFont="1" applyFill="1" applyAlignment="1">
      <alignment horizontal="center" vertical="top"/>
    </xf>
    <xf numFmtId="14" fontId="19" fillId="0" borderId="0" xfId="139" applyNumberFormat="1" applyFont="1" applyFill="1" applyBorder="1" applyAlignment="1">
      <alignment horizontal="center" vertical="top"/>
      <protection/>
    </xf>
    <xf numFmtId="164" fontId="19" fillId="0" borderId="0" xfId="139" applyFont="1" applyFill="1" applyBorder="1" applyAlignment="1">
      <alignment horizontal="center" vertical="top"/>
      <protection/>
    </xf>
    <xf numFmtId="164" fontId="19" fillId="0" borderId="0" xfId="141" applyFont="1" applyFill="1" applyAlignment="1">
      <alignment horizontal="center" vertical="top"/>
      <protection/>
    </xf>
    <xf numFmtId="0" fontId="67" fillId="0" borderId="8" xfId="108" applyNumberFormat="1" applyFont="1" applyFill="1" applyBorder="1" applyAlignment="1" applyProtection="1">
      <alignment/>
      <protection/>
    </xf>
    <xf numFmtId="0" fontId="23" fillId="14" borderId="10" xfId="108" applyNumberFormat="1" applyFont="1" applyFill="1" applyBorder="1" applyAlignment="1" applyProtection="1">
      <alignment/>
      <protection/>
    </xf>
    <xf numFmtId="0" fontId="23" fillId="0" borderId="8" xfId="108" applyNumberFormat="1" applyFont="1" applyFill="1" applyBorder="1" applyAlignment="1" applyProtection="1">
      <alignment/>
      <protection/>
    </xf>
    <xf numFmtId="164" fontId="21" fillId="26" borderId="39" xfId="0" applyFont="1" applyFill="1" applyBorder="1" applyAlignment="1">
      <alignment horizontal="center" wrapText="1"/>
    </xf>
    <xf numFmtId="164" fontId="21" fillId="26" borderId="40" xfId="0" applyFont="1" applyFill="1" applyBorder="1" applyAlignment="1">
      <alignment horizontal="center" wrapText="1"/>
    </xf>
    <xf numFmtId="164" fontId="21" fillId="26" borderId="41" xfId="0" applyFont="1" applyFill="1" applyBorder="1" applyAlignment="1">
      <alignment horizontal="center" wrapText="1"/>
    </xf>
    <xf numFmtId="164" fontId="25" fillId="0" borderId="38" xfId="0" applyFont="1" applyBorder="1" applyAlignment="1">
      <alignment/>
    </xf>
    <xf numFmtId="14" fontId="25" fillId="0" borderId="42" xfId="0" applyNumberFormat="1" applyFont="1" applyBorder="1" applyAlignment="1" applyProtection="1">
      <alignment/>
      <protection/>
    </xf>
    <xf numFmtId="0" fontId="25" fillId="0" borderId="42" xfId="0" applyNumberFormat="1" applyFont="1" applyBorder="1" applyAlignment="1" applyProtection="1">
      <alignment/>
      <protection/>
    </xf>
    <xf numFmtId="164" fontId="25" fillId="0" borderId="42" xfId="0" applyFont="1" applyBorder="1" applyAlignment="1" applyProtection="1">
      <alignment/>
      <protection/>
    </xf>
    <xf numFmtId="164" fontId="25" fillId="0" borderId="43" xfId="0" applyFont="1" applyBorder="1" applyAlignment="1" applyProtection="1">
      <alignment/>
      <protection/>
    </xf>
    <xf numFmtId="0" fontId="25" fillId="0" borderId="24" xfId="128" applyNumberFormat="1" applyFont="1" applyFill="1" applyBorder="1" applyAlignment="1" applyProtection="1">
      <alignment horizontal="center" vertical="center"/>
      <protection locked="0"/>
    </xf>
    <xf numFmtId="0" fontId="25" fillId="0" borderId="44" xfId="128" applyNumberFormat="1" applyFont="1" applyFill="1" applyBorder="1" applyAlignment="1" applyProtection="1">
      <alignment horizontal="center" vertical="center"/>
      <protection locked="0"/>
    </xf>
    <xf numFmtId="0" fontId="24" fillId="53" borderId="45" xfId="128" applyFont="1" applyFill="1" applyBorder="1" applyAlignment="1" applyProtection="1">
      <alignment horizontal="center" vertical="center"/>
      <protection/>
    </xf>
    <xf numFmtId="164" fontId="19" fillId="0" borderId="0" xfId="0" applyFont="1" applyFill="1" applyAlignment="1">
      <alignment horizontal="center" vertical="top"/>
    </xf>
    <xf numFmtId="164" fontId="19" fillId="0" borderId="0" xfId="0" applyFont="1" applyFill="1" applyBorder="1" applyAlignment="1">
      <alignment horizontal="center" vertical="top"/>
    </xf>
    <xf numFmtId="0" fontId="19" fillId="0" borderId="8" xfId="128" applyFont="1" applyBorder="1" applyAlignment="1" applyProtection="1" quotePrefix="1">
      <alignment horizontal="right" vertical="center"/>
      <protection/>
    </xf>
    <xf numFmtId="187" fontId="25" fillId="0" borderId="24" xfId="0" applyNumberFormat="1" applyFont="1" applyFill="1" applyBorder="1" applyAlignment="1" applyProtection="1">
      <alignment horizontal="center" vertical="center"/>
      <protection locked="0"/>
    </xf>
    <xf numFmtId="0" fontId="24" fillId="54" borderId="24" xfId="0" applyNumberFormat="1" applyFont="1" applyFill="1" applyBorder="1" applyAlignment="1" applyProtection="1">
      <alignment horizontal="center" vertical="center" wrapText="1"/>
      <protection/>
    </xf>
    <xf numFmtId="0" fontId="24" fillId="55" borderId="20" xfId="128" applyFont="1" applyFill="1" applyBorder="1" applyAlignment="1" applyProtection="1">
      <alignment horizontal="right" vertical="top" indent="1"/>
      <protection/>
    </xf>
    <xf numFmtId="0" fontId="24" fillId="56" borderId="20" xfId="128" applyFont="1" applyFill="1" applyBorder="1" applyAlignment="1" applyProtection="1">
      <alignment horizontal="right" vertical="center" indent="1"/>
      <protection/>
    </xf>
    <xf numFmtId="164" fontId="24" fillId="57" borderId="46" xfId="0" applyFont="1" applyFill="1" applyBorder="1" applyAlignment="1" applyProtection="1">
      <alignment horizontal="center" vertical="center" wrapText="1"/>
      <protection/>
    </xf>
    <xf numFmtId="164" fontId="24" fillId="58" borderId="47" xfId="0" applyFont="1" applyFill="1" applyBorder="1" applyAlignment="1" applyProtection="1">
      <alignment horizontal="center" vertical="center" wrapText="1"/>
      <protection/>
    </xf>
    <xf numFmtId="164" fontId="24" fillId="59" borderId="11" xfId="0" applyFont="1" applyFill="1" applyBorder="1" applyAlignment="1" applyProtection="1">
      <alignment horizontal="center" vertical="center"/>
      <protection/>
    </xf>
    <xf numFmtId="164" fontId="24" fillId="60" borderId="20" xfId="0" applyFont="1" applyFill="1" applyBorder="1" applyAlignment="1" applyProtection="1">
      <alignment horizontal="center" vertical="center"/>
      <protection/>
    </xf>
    <xf numFmtId="164" fontId="25" fillId="61" borderId="11" xfId="0" applyFont="1" applyFill="1" applyBorder="1" applyAlignment="1" applyProtection="1">
      <alignment horizontal="center" vertical="center"/>
      <protection/>
    </xf>
    <xf numFmtId="164" fontId="24" fillId="62" borderId="19" xfId="0" applyFont="1" applyFill="1" applyBorder="1" applyAlignment="1" applyProtection="1">
      <alignment horizontal="center" vertical="center"/>
      <protection/>
    </xf>
    <xf numFmtId="164" fontId="24" fillId="63" borderId="21" xfId="0" applyFont="1" applyFill="1" applyBorder="1" applyAlignment="1" applyProtection="1">
      <alignment horizontal="center" vertical="center"/>
      <protection/>
    </xf>
    <xf numFmtId="164" fontId="25" fillId="64" borderId="22" xfId="0" applyFont="1" applyFill="1" applyBorder="1" applyAlignment="1" applyProtection="1">
      <alignment horizontal="center" vertical="center"/>
      <protection/>
    </xf>
    <xf numFmtId="164" fontId="25" fillId="65" borderId="20" xfId="0" applyFont="1" applyFill="1" applyBorder="1" applyAlignment="1" applyProtection="1">
      <alignment horizontal="center" vertical="center"/>
      <protection/>
    </xf>
    <xf numFmtId="164" fontId="11" fillId="66" borderId="11" xfId="0" applyFont="1" applyFill="1" applyBorder="1" applyAlignment="1" applyProtection="1">
      <alignment horizontal="center" vertical="center"/>
      <protection/>
    </xf>
    <xf numFmtId="164" fontId="24" fillId="67" borderId="48" xfId="0" applyFont="1" applyFill="1" applyBorder="1" applyAlignment="1" applyProtection="1">
      <alignment horizontal="center" vertical="center" wrapText="1"/>
      <protection/>
    </xf>
    <xf numFmtId="164" fontId="24" fillId="68" borderId="49" xfId="0" applyFont="1" applyFill="1" applyBorder="1" applyAlignment="1" applyProtection="1">
      <alignment horizontal="center" vertical="center" wrapText="1"/>
      <protection/>
    </xf>
    <xf numFmtId="164" fontId="21" fillId="69" borderId="45" xfId="0" applyFont="1" applyFill="1" applyBorder="1" applyAlignment="1" applyProtection="1">
      <alignment horizontal="right" vertical="top"/>
      <protection/>
    </xf>
    <xf numFmtId="164" fontId="21" fillId="70" borderId="50" xfId="0" applyFont="1" applyFill="1" applyBorder="1" applyAlignment="1" applyProtection="1">
      <alignment horizontal="right" vertical="top"/>
      <protection/>
    </xf>
    <xf numFmtId="164" fontId="47" fillId="71" borderId="27" xfId="0" applyFont="1" applyFill="1" applyBorder="1" applyAlignment="1" applyProtection="1">
      <alignment horizontal="right" vertical="center" wrapText="1"/>
      <protection/>
    </xf>
    <xf numFmtId="164" fontId="21" fillId="72" borderId="24" xfId="0" applyFont="1" applyFill="1" applyBorder="1" applyAlignment="1">
      <alignment horizontal="center"/>
    </xf>
    <xf numFmtId="164" fontId="21" fillId="73" borderId="24" xfId="0" applyFont="1" applyFill="1" applyBorder="1" applyAlignment="1">
      <alignment/>
    </xf>
    <xf numFmtId="174" fontId="0" fillId="74" borderId="0" xfId="0" applyNumberFormat="1" applyFill="1" applyBorder="1" applyAlignment="1">
      <alignment vertical="center"/>
    </xf>
    <xf numFmtId="0" fontId="25" fillId="0" borderId="11" xfId="128" applyFont="1" applyFill="1" applyBorder="1" applyAlignment="1" applyProtection="1">
      <alignment horizontal="left" vertical="center" indent="1"/>
      <protection locked="0"/>
    </xf>
    <xf numFmtId="164" fontId="24" fillId="75" borderId="26" xfId="0" applyFont="1" applyFill="1" applyBorder="1" applyAlignment="1" applyProtection="1">
      <alignment horizontal="center" vertical="center" wrapText="1"/>
      <protection/>
    </xf>
    <xf numFmtId="164" fontId="24" fillId="76" borderId="26" xfId="0" applyFont="1" applyFill="1" applyBorder="1" applyAlignment="1" applyProtection="1">
      <alignment horizontal="center" vertical="center"/>
      <protection/>
    </xf>
    <xf numFmtId="164" fontId="25" fillId="0" borderId="20" xfId="0" applyFont="1" applyFill="1" applyBorder="1" applyAlignment="1" applyProtection="1">
      <alignment horizontal="left" vertical="center" indent="1"/>
      <protection locked="0"/>
    </xf>
    <xf numFmtId="164" fontId="24" fillId="77" borderId="46" xfId="0" applyFont="1" applyFill="1" applyBorder="1" applyAlignment="1" applyProtection="1">
      <alignment horizontal="center" vertical="center" wrapText="1"/>
      <protection/>
    </xf>
    <xf numFmtId="0" fontId="25" fillId="0" borderId="20" xfId="128" applyFont="1" applyFill="1" applyBorder="1" applyAlignment="1" applyProtection="1">
      <alignment horizontal="left" vertical="center" indent="1"/>
      <protection locked="0"/>
    </xf>
    <xf numFmtId="164" fontId="11" fillId="78" borderId="20" xfId="0" applyFont="1" applyFill="1" applyBorder="1" applyAlignment="1" applyProtection="1">
      <alignment horizontal="center" vertical="center"/>
      <protection/>
    </xf>
    <xf numFmtId="0" fontId="33" fillId="0" borderId="0" xfId="130" applyFont="1" applyBorder="1" applyAlignment="1" applyProtection="1">
      <alignment horizontal="right" vertical="top"/>
      <protection/>
    </xf>
    <xf numFmtId="0" fontId="26" fillId="0" borderId="0" xfId="130" applyFont="1" applyBorder="1" applyAlignment="1" applyProtection="1">
      <alignment horizontal="left" vertical="center"/>
      <protection/>
    </xf>
    <xf numFmtId="0" fontId="50" fillId="0" borderId="0" xfId="130" applyFont="1" applyBorder="1" applyAlignment="1" applyProtection="1">
      <alignment horizontal="left" indent="1"/>
      <protection/>
    </xf>
    <xf numFmtId="0" fontId="37" fillId="0" borderId="8" xfId="124" applyFont="1" applyBorder="1">
      <alignment/>
      <protection/>
    </xf>
    <xf numFmtId="0" fontId="24" fillId="0" borderId="8" xfId="129" applyFont="1" applyBorder="1" applyAlignment="1" applyProtection="1">
      <alignment horizontal="right" vertical="center"/>
      <protection/>
    </xf>
    <xf numFmtId="0" fontId="68" fillId="0" borderId="8" xfId="124" applyFont="1" applyBorder="1" applyAlignment="1">
      <alignment vertical="center"/>
      <protection/>
    </xf>
    <xf numFmtId="0" fontId="12" fillId="0" borderId="8" xfId="131" applyFont="1" applyBorder="1" applyAlignment="1" applyProtection="1">
      <alignment vertical="center"/>
      <protection/>
    </xf>
    <xf numFmtId="0" fontId="24" fillId="0" borderId="8" xfId="131" applyFont="1" applyBorder="1" applyAlignment="1" applyProtection="1">
      <alignment horizontal="right" vertical="center"/>
      <protection/>
    </xf>
    <xf numFmtId="0" fontId="25" fillId="0" borderId="8" xfId="134" applyFont="1" applyFill="1" applyBorder="1" applyAlignment="1" applyProtection="1">
      <alignment vertical="center"/>
      <protection/>
    </xf>
    <xf numFmtId="0" fontId="23" fillId="0" borderId="8" xfId="124" applyFont="1" applyBorder="1" applyAlignment="1">
      <alignment horizontal="right"/>
      <protection/>
    </xf>
    <xf numFmtId="0" fontId="68" fillId="0" borderId="0" xfId="124" applyFont="1" applyAlignment="1">
      <alignment vertical="center"/>
      <protection/>
    </xf>
    <xf numFmtId="0" fontId="68" fillId="0" borderId="0" xfId="124" applyFont="1" applyBorder="1" applyAlignment="1">
      <alignment vertical="center"/>
      <protection/>
    </xf>
    <xf numFmtId="0" fontId="12" fillId="0" borderId="0" xfId="134" applyFont="1" applyAlignment="1">
      <alignment vertical="center"/>
      <protection/>
    </xf>
    <xf numFmtId="0" fontId="19" fillId="0" borderId="8" xfId="131" applyFont="1" applyBorder="1" applyAlignment="1" applyProtection="1">
      <alignment vertical="center"/>
      <protection/>
    </xf>
    <xf numFmtId="0" fontId="12" fillId="0" borderId="8" xfId="134" applyFont="1" applyBorder="1" applyAlignment="1" applyProtection="1">
      <alignment vertical="center"/>
      <protection/>
    </xf>
    <xf numFmtId="0" fontId="21" fillId="0" borderId="0" xfId="131" applyFont="1" applyBorder="1" applyAlignment="1" applyProtection="1">
      <alignment horizontal="left" vertical="center"/>
      <protection/>
    </xf>
    <xf numFmtId="0" fontId="12" fillId="0" borderId="0" xfId="134" applyFont="1" applyBorder="1" applyAlignment="1" applyProtection="1">
      <alignment vertical="center"/>
      <protection/>
    </xf>
    <xf numFmtId="0" fontId="12" fillId="0" borderId="0" xfId="131" applyFont="1" applyBorder="1" applyAlignment="1" applyProtection="1">
      <alignment vertical="center"/>
      <protection/>
    </xf>
    <xf numFmtId="0" fontId="69" fillId="0" borderId="0" xfId="131" applyFont="1" applyBorder="1" applyAlignment="1" applyProtection="1">
      <alignment horizontal="left" vertical="center"/>
      <protection/>
    </xf>
    <xf numFmtId="0" fontId="12" fillId="0" borderId="0" xfId="134" applyFont="1" applyAlignment="1" applyProtection="1">
      <alignment vertical="center"/>
      <protection/>
    </xf>
    <xf numFmtId="0" fontId="12" fillId="0" borderId="0" xfId="131" applyFont="1" applyBorder="1" applyAlignment="1" applyProtection="1">
      <alignment horizontal="left" vertical="center"/>
      <protection/>
    </xf>
    <xf numFmtId="0" fontId="48" fillId="0" borderId="0" xfId="130" applyFont="1" applyBorder="1" applyAlignment="1">
      <alignment horizontal="center"/>
      <protection/>
    </xf>
    <xf numFmtId="0" fontId="21" fillId="0" borderId="0" xfId="130" applyFont="1" applyBorder="1">
      <alignment/>
      <protection/>
    </xf>
    <xf numFmtId="0" fontId="24" fillId="0" borderId="0" xfId="131" applyFont="1" applyBorder="1" applyAlignment="1" applyProtection="1">
      <alignment horizontal="left" vertical="center"/>
      <protection/>
    </xf>
    <xf numFmtId="0" fontId="33" fillId="0" borderId="0" xfId="131" applyFont="1" applyBorder="1" applyAlignment="1" applyProtection="1">
      <alignment horizontal="right" vertical="center"/>
      <protection/>
    </xf>
    <xf numFmtId="0" fontId="19" fillId="0" borderId="8" xfId="132" applyFont="1" applyBorder="1" applyAlignment="1" applyProtection="1">
      <alignment vertical="center"/>
      <protection/>
    </xf>
    <xf numFmtId="0" fontId="12" fillId="0" borderId="8" xfId="132" applyFont="1" applyBorder="1" applyAlignment="1" applyProtection="1">
      <alignment vertical="center"/>
      <protection/>
    </xf>
    <xf numFmtId="0" fontId="12" fillId="0" borderId="8" xfId="135" applyFont="1" applyBorder="1" applyAlignment="1" applyProtection="1">
      <alignment vertical="center"/>
      <protection/>
    </xf>
    <xf numFmtId="0" fontId="21" fillId="79" borderId="11" xfId="132" applyFont="1" applyFill="1" applyBorder="1" applyAlignment="1" applyProtection="1">
      <alignment horizontal="center" vertical="center"/>
      <protection/>
    </xf>
    <xf numFmtId="0" fontId="21" fillId="0" borderId="20" xfId="135" applyFont="1" applyFill="1" applyBorder="1" applyAlignment="1" applyProtection="1">
      <alignment horizontal="left" vertical="top" indent="1"/>
      <protection/>
    </xf>
    <xf numFmtId="0" fontId="21" fillId="23" borderId="20" xfId="135" applyFont="1" applyFill="1" applyBorder="1" applyAlignment="1" applyProtection="1">
      <alignment horizontal="left" vertical="top" indent="1"/>
      <protection/>
    </xf>
    <xf numFmtId="0" fontId="68" fillId="0" borderId="0" xfId="108" applyFont="1" applyAlignment="1">
      <alignment vertical="center"/>
      <protection/>
    </xf>
    <xf numFmtId="0" fontId="68" fillId="0" borderId="0" xfId="108" applyFont="1" applyFill="1" applyAlignment="1">
      <alignment vertical="center"/>
      <protection/>
    </xf>
    <xf numFmtId="0" fontId="19" fillId="0" borderId="8" xfId="135" applyFont="1" applyBorder="1">
      <alignment/>
      <protection/>
    </xf>
    <xf numFmtId="0" fontId="24" fillId="0" borderId="8" xfId="132" applyFont="1" applyBorder="1">
      <alignment/>
      <protection/>
    </xf>
    <xf numFmtId="0" fontId="24" fillId="0" borderId="8" xfId="135" applyFont="1" applyBorder="1">
      <alignment/>
      <protection/>
    </xf>
    <xf numFmtId="0" fontId="21" fillId="80" borderId="51" xfId="124" applyFont="1" applyFill="1" applyBorder="1" applyAlignment="1">
      <alignment/>
      <protection/>
    </xf>
    <xf numFmtId="0" fontId="21" fillId="80" borderId="21" xfId="124" applyFont="1" applyFill="1" applyBorder="1" applyAlignment="1">
      <alignment/>
      <protection/>
    </xf>
    <xf numFmtId="0" fontId="3" fillId="0" borderId="0" xfId="124">
      <alignment/>
      <protection/>
    </xf>
    <xf numFmtId="0" fontId="19" fillId="0" borderId="8" xfId="133" applyFont="1" applyBorder="1">
      <alignment/>
      <protection/>
    </xf>
    <xf numFmtId="0" fontId="12" fillId="0" borderId="0" xfId="135" applyFont="1" applyAlignment="1">
      <alignment vertical="center"/>
      <protection/>
    </xf>
    <xf numFmtId="0" fontId="21" fillId="81" borderId="52" xfId="133" applyFont="1" applyFill="1" applyBorder="1" applyAlignment="1">
      <alignment horizontal="center" vertical="center" wrapText="1"/>
      <protection/>
    </xf>
    <xf numFmtId="0" fontId="21" fillId="82" borderId="52" xfId="130" applyFont="1" applyFill="1" applyBorder="1" applyAlignment="1">
      <alignment horizontal="center" wrapText="1"/>
      <protection/>
    </xf>
    <xf numFmtId="0" fontId="21" fillId="83" borderId="52" xfId="130" applyFont="1" applyFill="1" applyBorder="1" applyAlignment="1">
      <alignment horizontal="center" wrapText="1"/>
      <protection/>
    </xf>
    <xf numFmtId="0" fontId="21" fillId="84" borderId="52" xfId="130" applyFont="1" applyFill="1" applyBorder="1" applyAlignment="1">
      <alignment horizontal="center" wrapText="1"/>
      <protection/>
    </xf>
    <xf numFmtId="0" fontId="21" fillId="85" borderId="52" xfId="130" applyFont="1" applyFill="1" applyBorder="1" applyAlignment="1">
      <alignment horizontal="center" wrapText="1"/>
      <protection/>
    </xf>
    <xf numFmtId="0" fontId="21" fillId="86" borderId="48" xfId="130" applyFont="1" applyFill="1" applyBorder="1" applyAlignment="1">
      <alignment horizontal="center" wrapText="1"/>
      <protection/>
    </xf>
    <xf numFmtId="0" fontId="21" fillId="87" borderId="52" xfId="130" applyFont="1" applyFill="1" applyBorder="1" applyAlignment="1">
      <alignment horizontal="center" wrapText="1"/>
      <protection/>
    </xf>
    <xf numFmtId="0" fontId="21" fillId="88" borderId="52" xfId="130" applyFont="1" applyFill="1" applyBorder="1" applyAlignment="1">
      <alignment horizontal="center" wrapText="1"/>
      <protection/>
    </xf>
    <xf numFmtId="0" fontId="21" fillId="89" borderId="11" xfId="133" applyFont="1" applyFill="1" applyBorder="1" applyAlignment="1">
      <alignment horizontal="center" vertical="center"/>
      <protection/>
    </xf>
    <xf numFmtId="0" fontId="21" fillId="90" borderId="11" xfId="130" applyFont="1" applyFill="1" applyBorder="1" applyAlignment="1" applyProtection="1">
      <alignment horizontal="center" vertical="center"/>
      <protection/>
    </xf>
    <xf numFmtId="0" fontId="21" fillId="91" borderId="11" xfId="130" applyNumberFormat="1" applyFont="1" applyFill="1" applyBorder="1" applyAlignment="1">
      <alignment horizontal="center" vertical="center"/>
      <protection/>
    </xf>
    <xf numFmtId="0" fontId="21" fillId="92" borderId="11" xfId="130" applyFont="1" applyFill="1" applyBorder="1" applyAlignment="1">
      <alignment horizontal="center" vertical="center"/>
      <protection/>
    </xf>
    <xf numFmtId="0" fontId="21" fillId="93" borderId="11" xfId="130" applyFont="1" applyFill="1" applyBorder="1" applyAlignment="1">
      <alignment horizontal="center" vertical="center"/>
      <protection/>
    </xf>
    <xf numFmtId="10" fontId="21" fillId="94" borderId="11" xfId="151" applyNumberFormat="1" applyFont="1" applyFill="1" applyBorder="1" applyAlignment="1">
      <alignment horizontal="center" vertical="center"/>
    </xf>
    <xf numFmtId="0" fontId="21" fillId="95" borderId="11" xfId="130" applyFont="1" applyFill="1" applyBorder="1" applyAlignment="1">
      <alignment horizontal="center" vertical="center"/>
      <protection/>
    </xf>
    <xf numFmtId="0" fontId="21" fillId="96" borderId="20" xfId="130" applyNumberFormat="1" applyFont="1" applyFill="1" applyBorder="1" applyAlignment="1">
      <alignment horizontal="center" vertical="center"/>
      <protection/>
    </xf>
    <xf numFmtId="0" fontId="21" fillId="97" borderId="20" xfId="130" applyFont="1" applyFill="1" applyBorder="1" applyAlignment="1">
      <alignment horizontal="center" vertical="center"/>
      <protection/>
    </xf>
    <xf numFmtId="0" fontId="21" fillId="98" borderId="20" xfId="130" applyFont="1" applyFill="1" applyBorder="1" applyAlignment="1">
      <alignment horizontal="center" vertical="center"/>
      <protection/>
    </xf>
    <xf numFmtId="0" fontId="21" fillId="99" borderId="20" xfId="130" applyFont="1" applyFill="1" applyBorder="1" applyAlignment="1" applyProtection="1">
      <alignment horizontal="center" vertical="center"/>
      <protection/>
    </xf>
    <xf numFmtId="0" fontId="21" fillId="100" borderId="45" xfId="130" applyFont="1" applyFill="1" applyBorder="1" applyAlignment="1">
      <alignment vertical="center"/>
      <protection/>
    </xf>
    <xf numFmtId="0" fontId="21" fillId="101" borderId="51" xfId="124" applyFont="1" applyFill="1" applyBorder="1" applyAlignment="1">
      <alignment vertical="center"/>
      <protection/>
    </xf>
    <xf numFmtId="0" fontId="21" fillId="102" borderId="51" xfId="130" applyFont="1" applyFill="1" applyBorder="1" applyAlignment="1">
      <alignment horizontal="right" vertical="center"/>
      <protection/>
    </xf>
    <xf numFmtId="0" fontId="21" fillId="103" borderId="51" xfId="130" applyNumberFormat="1" applyFont="1" applyFill="1" applyBorder="1" applyAlignment="1">
      <alignment vertical="center"/>
      <protection/>
    </xf>
    <xf numFmtId="0" fontId="21" fillId="104" borderId="21" xfId="130" applyFont="1" applyFill="1" applyBorder="1" applyAlignment="1">
      <alignment horizontal="left" vertical="center"/>
      <protection/>
    </xf>
    <xf numFmtId="193" fontId="12" fillId="0" borderId="0" xfId="135" applyNumberFormat="1" applyFont="1" applyAlignment="1">
      <alignment vertical="center"/>
      <protection/>
    </xf>
    <xf numFmtId="0" fontId="21" fillId="105" borderId="45" xfId="130" applyFont="1" applyFill="1" applyBorder="1" applyAlignment="1">
      <alignment horizontal="right" vertical="center"/>
      <protection/>
    </xf>
    <xf numFmtId="0" fontId="21" fillId="106" borderId="45" xfId="130" applyFont="1" applyFill="1" applyBorder="1" applyAlignment="1">
      <alignment vertical="center"/>
      <protection/>
    </xf>
    <xf numFmtId="0" fontId="21" fillId="107" borderId="51" xfId="124" applyFont="1" applyFill="1" applyBorder="1" applyAlignment="1">
      <alignment vertical="center"/>
      <protection/>
    </xf>
    <xf numFmtId="0" fontId="21" fillId="108" borderId="51" xfId="130" applyFont="1" applyFill="1" applyBorder="1" applyAlignment="1">
      <alignment horizontal="right" vertical="center"/>
      <protection/>
    </xf>
    <xf numFmtId="0" fontId="21" fillId="109" borderId="51" xfId="130" applyNumberFormat="1" applyFont="1" applyFill="1" applyBorder="1" applyAlignment="1">
      <alignment vertical="center"/>
      <protection/>
    </xf>
    <xf numFmtId="0" fontId="21" fillId="110" borderId="21" xfId="130" applyFont="1" applyFill="1" applyBorder="1" applyAlignment="1">
      <alignment horizontal="left" vertical="center"/>
      <protection/>
    </xf>
    <xf numFmtId="0" fontId="12" fillId="0" borderId="0" xfId="131" applyFont="1" applyAlignment="1">
      <alignment vertical="center"/>
      <protection/>
    </xf>
    <xf numFmtId="0" fontId="70" fillId="0" borderId="0" xfId="124" applyFont="1" applyAlignment="1">
      <alignment vertical="center"/>
      <protection/>
    </xf>
    <xf numFmtId="0" fontId="21" fillId="0" borderId="0" xfId="133" applyFont="1" applyAlignment="1">
      <alignment wrapText="1"/>
      <protection/>
    </xf>
    <xf numFmtId="0" fontId="48" fillId="80" borderId="45" xfId="133" applyFont="1" applyFill="1" applyBorder="1" applyAlignment="1" applyProtection="1">
      <alignment horizontal="center"/>
      <protection/>
    </xf>
    <xf numFmtId="0" fontId="48" fillId="80" borderId="51" xfId="133" applyFont="1" applyFill="1" applyBorder="1" applyAlignment="1" applyProtection="1">
      <alignment horizontal="center"/>
      <protection/>
    </xf>
    <xf numFmtId="0" fontId="48" fillId="80" borderId="21" xfId="133" applyFont="1" applyFill="1" applyBorder="1" applyAlignment="1" applyProtection="1">
      <alignment horizontal="center"/>
      <protection/>
    </xf>
    <xf numFmtId="0" fontId="21" fillId="80" borderId="51" xfId="124" applyFont="1" applyFill="1" applyBorder="1" applyAlignment="1">
      <alignment horizontal="left"/>
      <protection/>
    </xf>
    <xf numFmtId="0" fontId="21" fillId="80" borderId="21" xfId="124" applyFont="1" applyFill="1" applyBorder="1" applyAlignment="1">
      <alignment horizontal="left"/>
      <protection/>
    </xf>
    <xf numFmtId="0" fontId="21" fillId="111" borderId="12" xfId="130" applyNumberFormat="1" applyFont="1" applyFill="1" applyBorder="1" applyAlignment="1">
      <alignment horizontal="center" vertical="center"/>
      <protection/>
    </xf>
    <xf numFmtId="0" fontId="108" fillId="0" borderId="0" xfId="124" applyFont="1" applyAlignment="1">
      <alignment vertical="center"/>
      <protection/>
    </xf>
    <xf numFmtId="0" fontId="68" fillId="80" borderId="51" xfId="124" applyFont="1" applyFill="1" applyBorder="1" applyAlignment="1">
      <alignment vertical="center"/>
      <protection/>
    </xf>
    <xf numFmtId="0" fontId="21" fillId="80" borderId="53" xfId="124" applyFont="1" applyFill="1" applyBorder="1" applyAlignment="1">
      <alignment horizontal="left"/>
      <protection/>
    </xf>
    <xf numFmtId="0" fontId="68" fillId="80" borderId="21" xfId="124" applyFont="1" applyFill="1" applyBorder="1" applyAlignment="1">
      <alignment vertical="center"/>
      <protection/>
    </xf>
    <xf numFmtId="0" fontId="21" fillId="80" borderId="54" xfId="124" applyFont="1" applyFill="1" applyBorder="1" applyAlignment="1">
      <alignment horizontal="left"/>
      <protection/>
    </xf>
    <xf numFmtId="0" fontId="21" fillId="80" borderId="45" xfId="124" applyFont="1" applyFill="1" applyBorder="1" applyAlignment="1">
      <alignment vertical="center"/>
      <protection/>
    </xf>
    <xf numFmtId="0" fontId="21" fillId="80" borderId="51" xfId="124" applyFont="1" applyFill="1" applyBorder="1" applyAlignment="1">
      <alignment vertical="center"/>
      <protection/>
    </xf>
    <xf numFmtId="164" fontId="21" fillId="80" borderId="53" xfId="0" applyFont="1" applyFill="1" applyBorder="1" applyAlignment="1">
      <alignment horizontal="right"/>
    </xf>
    <xf numFmtId="164" fontId="21" fillId="80" borderId="51" xfId="0" applyFont="1" applyFill="1" applyBorder="1" applyAlignment="1">
      <alignment horizontal="right"/>
    </xf>
    <xf numFmtId="164" fontId="21" fillId="80" borderId="45" xfId="0" applyFont="1" applyFill="1" applyBorder="1" applyAlignment="1">
      <alignment horizontal="right"/>
    </xf>
    <xf numFmtId="0" fontId="21" fillId="80" borderId="51" xfId="127" applyFont="1" applyFill="1" applyBorder="1" applyAlignment="1">
      <alignment horizontal="right" vertical="center"/>
      <protection/>
    </xf>
    <xf numFmtId="0" fontId="21" fillId="80" borderId="53" xfId="124" applyFont="1" applyFill="1" applyBorder="1" applyAlignment="1">
      <alignment vertical="center"/>
      <protection/>
    </xf>
    <xf numFmtId="0" fontId="21" fillId="80" borderId="45" xfId="127" applyFont="1" applyFill="1" applyBorder="1" applyAlignment="1" quotePrefix="1">
      <alignment horizontal="right" vertical="center"/>
      <protection/>
    </xf>
    <xf numFmtId="0" fontId="21" fillId="80" borderId="51" xfId="127" applyFont="1" applyFill="1" applyBorder="1" applyAlignment="1" quotePrefix="1">
      <alignment horizontal="right" vertical="center"/>
      <protection/>
    </xf>
    <xf numFmtId="0" fontId="68" fillId="80" borderId="0" xfId="124" applyFont="1" applyFill="1" applyAlignment="1">
      <alignment vertical="center"/>
      <protection/>
    </xf>
    <xf numFmtId="0" fontId="21" fillId="80" borderId="51" xfId="124" applyFont="1" applyFill="1" applyBorder="1" applyAlignment="1">
      <alignment horizontal="left"/>
      <protection/>
    </xf>
    <xf numFmtId="14" fontId="19" fillId="0" borderId="0" xfId="0" applyNumberFormat="1" applyFont="1" applyFill="1" applyBorder="1" applyAlignment="1">
      <alignment vertical="top"/>
    </xf>
    <xf numFmtId="164" fontId="19" fillId="0" borderId="0" xfId="0" applyFont="1" applyFill="1" applyBorder="1" applyAlignment="1">
      <alignment vertical="top" wrapText="1"/>
    </xf>
    <xf numFmtId="0" fontId="21" fillId="112" borderId="27" xfId="124" applyFont="1" applyFill="1" applyBorder="1" applyAlignment="1">
      <alignment/>
      <protection/>
    </xf>
    <xf numFmtId="0" fontId="21" fillId="112" borderId="55" xfId="124" applyFont="1" applyFill="1" applyBorder="1" applyAlignment="1">
      <alignment/>
      <protection/>
    </xf>
    <xf numFmtId="0" fontId="48" fillId="112" borderId="45" xfId="133" applyFont="1" applyFill="1" applyBorder="1" applyAlignment="1" applyProtection="1">
      <alignment horizontal="center"/>
      <protection/>
    </xf>
    <xf numFmtId="0" fontId="48" fillId="112" borderId="51" xfId="133" applyFont="1" applyFill="1" applyBorder="1" applyAlignment="1" applyProtection="1">
      <alignment horizontal="center"/>
      <protection/>
    </xf>
    <xf numFmtId="0" fontId="48" fillId="112" borderId="21" xfId="133" applyFont="1" applyFill="1" applyBorder="1" applyAlignment="1" applyProtection="1">
      <alignment horizontal="center"/>
      <protection/>
    </xf>
    <xf numFmtId="0" fontId="21" fillId="112" borderId="45" xfId="127" applyFont="1" applyFill="1" applyBorder="1" applyAlignment="1" quotePrefix="1">
      <alignment horizontal="right" vertical="center"/>
      <protection/>
    </xf>
    <xf numFmtId="0" fontId="21" fillId="112" borderId="51" xfId="127" applyFont="1" applyFill="1" applyBorder="1" applyAlignment="1" quotePrefix="1">
      <alignment horizontal="right" vertical="center"/>
      <protection/>
    </xf>
    <xf numFmtId="0" fontId="21" fillId="112" borderId="51" xfId="124" applyFont="1" applyFill="1" applyBorder="1" applyAlignment="1">
      <alignment horizontal="left"/>
      <protection/>
    </xf>
    <xf numFmtId="0" fontId="21" fillId="112" borderId="51" xfId="124" applyFont="1" applyFill="1" applyBorder="1" applyAlignment="1">
      <alignment/>
      <protection/>
    </xf>
    <xf numFmtId="0" fontId="21" fillId="112" borderId="21" xfId="124" applyFont="1" applyFill="1" applyBorder="1" applyAlignment="1">
      <alignment/>
      <protection/>
    </xf>
    <xf numFmtId="0" fontId="21" fillId="112" borderId="45" xfId="124" applyFont="1" applyFill="1" applyBorder="1" applyAlignment="1">
      <alignment vertical="center"/>
      <protection/>
    </xf>
    <xf numFmtId="0" fontId="21" fillId="112" borderId="51" xfId="127" applyFont="1" applyFill="1" applyBorder="1" applyAlignment="1">
      <alignment horizontal="right" vertical="center"/>
      <protection/>
    </xf>
    <xf numFmtId="0" fontId="21" fillId="112" borderId="51" xfId="127" applyFont="1" applyFill="1" applyBorder="1" applyAlignment="1" quotePrefix="1">
      <alignment vertical="center"/>
      <protection/>
    </xf>
    <xf numFmtId="0" fontId="21" fillId="112" borderId="21" xfId="124" applyFont="1" applyFill="1" applyBorder="1" applyAlignment="1">
      <alignment horizontal="left"/>
      <protection/>
    </xf>
    <xf numFmtId="0" fontId="68" fillId="112" borderId="0" xfId="124" applyFont="1" applyFill="1" applyAlignment="1">
      <alignment vertical="center"/>
      <protection/>
    </xf>
    <xf numFmtId="0" fontId="24" fillId="113" borderId="20" xfId="128" applyFont="1" applyFill="1" applyBorder="1" applyAlignment="1" applyProtection="1">
      <alignment horizontal="right" vertical="center" indent="1"/>
      <protection/>
    </xf>
    <xf numFmtId="0" fontId="38" fillId="114" borderId="13" xfId="142" applyFont="1" applyFill="1" applyBorder="1" applyAlignment="1" applyProtection="1">
      <alignment horizontal="center" vertical="center"/>
      <protection/>
    </xf>
    <xf numFmtId="171" fontId="38" fillId="115" borderId="11" xfId="142" applyNumberFormat="1" applyFont="1" applyFill="1" applyBorder="1" applyAlignment="1" applyProtection="1">
      <alignment horizontal="right" vertical="center" indent="1"/>
      <protection/>
    </xf>
    <xf numFmtId="171" fontId="38" fillId="116" borderId="56" xfId="142" applyNumberFormat="1" applyFont="1" applyFill="1" applyBorder="1" applyAlignment="1" applyProtection="1">
      <alignment horizontal="right" vertical="center" indent="1"/>
      <protection/>
    </xf>
    <xf numFmtId="171" fontId="38" fillId="117" borderId="17" xfId="142" applyNumberFormat="1" applyFont="1" applyFill="1" applyBorder="1" applyAlignment="1" applyProtection="1">
      <alignment horizontal="right" vertical="center" indent="1"/>
      <protection/>
    </xf>
    <xf numFmtId="0" fontId="38" fillId="118" borderId="9" xfId="142" applyFont="1" applyFill="1" applyBorder="1" applyAlignment="1" applyProtection="1">
      <alignment horizontal="center" vertical="center"/>
      <protection/>
    </xf>
    <xf numFmtId="171" fontId="38" fillId="119" borderId="20" xfId="142" applyNumberFormat="1" applyFont="1" applyFill="1" applyBorder="1" applyAlignment="1" applyProtection="1">
      <alignment horizontal="right" vertical="center" indent="1"/>
      <protection/>
    </xf>
    <xf numFmtId="171" fontId="38" fillId="120" borderId="22" xfId="142" applyNumberFormat="1" applyFont="1" applyFill="1" applyBorder="1" applyAlignment="1" applyProtection="1">
      <alignment horizontal="right" vertical="center" indent="1"/>
      <protection/>
    </xf>
    <xf numFmtId="0" fontId="38" fillId="121" borderId="57" xfId="142" applyFont="1" applyFill="1" applyBorder="1" applyAlignment="1" applyProtection="1">
      <alignment horizontal="center" vertical="center"/>
      <protection/>
    </xf>
    <xf numFmtId="171" fontId="38" fillId="122" borderId="58" xfId="142" applyNumberFormat="1" applyFont="1" applyFill="1" applyBorder="1" applyAlignment="1" applyProtection="1">
      <alignment horizontal="right" vertical="center" indent="1"/>
      <protection/>
    </xf>
    <xf numFmtId="171" fontId="38" fillId="123" borderId="59" xfId="142" applyNumberFormat="1" applyFont="1" applyFill="1" applyBorder="1" applyAlignment="1" applyProtection="1">
      <alignment horizontal="right" vertical="center" indent="1"/>
      <protection/>
    </xf>
    <xf numFmtId="0" fontId="24" fillId="124" borderId="20" xfId="142" applyFont="1" applyFill="1" applyBorder="1" applyAlignment="1" applyProtection="1">
      <alignment horizontal="center" vertical="center"/>
      <protection/>
    </xf>
    <xf numFmtId="177" fontId="38" fillId="125" borderId="20" xfId="142" applyNumberFormat="1" applyFont="1" applyFill="1" applyBorder="1" applyAlignment="1" applyProtection="1">
      <alignment horizontal="center" vertical="center"/>
      <protection/>
    </xf>
    <xf numFmtId="178" fontId="38" fillId="126" borderId="20" xfId="142" applyNumberFormat="1" applyFont="1" applyFill="1" applyBorder="1" applyAlignment="1" applyProtection="1">
      <alignment horizontal="center" vertical="center"/>
      <protection/>
    </xf>
    <xf numFmtId="0" fontId="38" fillId="127" borderId="20" xfId="142" applyFont="1" applyFill="1" applyBorder="1" applyAlignment="1" applyProtection="1">
      <alignment horizontal="center" vertical="center"/>
      <protection/>
    </xf>
    <xf numFmtId="0" fontId="24" fillId="128" borderId="11" xfId="142" applyFont="1" applyFill="1" applyBorder="1" applyAlignment="1" applyProtection="1">
      <alignment horizontal="center" vertical="center"/>
      <protection/>
    </xf>
    <xf numFmtId="0" fontId="38" fillId="129" borderId="21" xfId="142" applyFont="1" applyFill="1" applyBorder="1" applyAlignment="1" applyProtection="1">
      <alignment horizontal="left"/>
      <protection/>
    </xf>
    <xf numFmtId="178" fontId="38" fillId="130" borderId="19" xfId="142" applyNumberFormat="1" applyFont="1" applyFill="1" applyBorder="1" applyAlignment="1" applyProtection="1">
      <alignment horizontal="left"/>
      <protection/>
    </xf>
    <xf numFmtId="0" fontId="38" fillId="131" borderId="55" xfId="142" applyFont="1" applyFill="1" applyBorder="1" applyAlignment="1" applyProtection="1">
      <alignment horizontal="left"/>
      <protection/>
    </xf>
    <xf numFmtId="174" fontId="38" fillId="132" borderId="42" xfId="142" applyNumberFormat="1" applyFont="1" applyFill="1" applyBorder="1" applyAlignment="1" applyProtection="1">
      <alignment horizontal="left" vertical="center"/>
      <protection/>
    </xf>
    <xf numFmtId="0" fontId="4" fillId="133" borderId="43" xfId="142" applyFill="1" applyBorder="1" applyProtection="1">
      <alignment/>
      <protection/>
    </xf>
    <xf numFmtId="0" fontId="11" fillId="134" borderId="60" xfId="142" applyFont="1" applyFill="1" applyBorder="1" applyAlignment="1" applyProtection="1">
      <alignment horizontal="center" vertical="center"/>
      <protection/>
    </xf>
    <xf numFmtId="0" fontId="11" fillId="135" borderId="46" xfId="142" applyFont="1" applyFill="1" applyBorder="1" applyAlignment="1" applyProtection="1">
      <alignment horizontal="center" vertical="center"/>
      <protection/>
    </xf>
    <xf numFmtId="0" fontId="11" fillId="136" borderId="47" xfId="142" applyFont="1" applyFill="1" applyBorder="1" applyAlignment="1" applyProtection="1">
      <alignment horizontal="center" vertical="center"/>
      <protection/>
    </xf>
    <xf numFmtId="0" fontId="38" fillId="137" borderId="11" xfId="136" applyNumberFormat="1" applyFont="1" applyFill="1" applyBorder="1" applyAlignment="1" applyProtection="1">
      <alignment horizontal="center" vertical="center"/>
      <protection/>
    </xf>
    <xf numFmtId="172" fontId="38" fillId="138" borderId="11" xfId="136" applyNumberFormat="1" applyFont="1" applyFill="1" applyBorder="1" applyAlignment="1">
      <alignment horizontal="right" vertical="center" indent="1"/>
      <protection/>
    </xf>
    <xf numFmtId="172" fontId="38" fillId="139" borderId="20" xfId="136" applyNumberFormat="1" applyFont="1" applyFill="1" applyBorder="1" applyAlignment="1">
      <alignment horizontal="right" vertical="center" indent="1"/>
      <protection/>
    </xf>
    <xf numFmtId="0" fontId="38" fillId="140" borderId="20" xfId="136" applyNumberFormat="1" applyFont="1" applyFill="1" applyBorder="1" applyAlignment="1" applyProtection="1">
      <alignment horizontal="center" vertical="center"/>
      <protection/>
    </xf>
    <xf numFmtId="0" fontId="38" fillId="141" borderId="20" xfId="136" applyNumberFormat="1" applyFont="1" applyFill="1" applyBorder="1" applyAlignment="1">
      <alignment horizontal="center" vertical="center"/>
      <protection/>
    </xf>
    <xf numFmtId="164" fontId="44" fillId="142" borderId="45" xfId="0" applyFont="1" applyFill="1" applyBorder="1" applyAlignment="1" applyProtection="1">
      <alignment horizontal="center" vertical="top"/>
      <protection/>
    </xf>
    <xf numFmtId="164" fontId="44" fillId="143" borderId="45" xfId="0" applyFont="1" applyFill="1" applyBorder="1" applyAlignment="1" applyProtection="1">
      <alignment horizontal="center" vertical="center"/>
      <protection/>
    </xf>
    <xf numFmtId="0" fontId="19" fillId="0" borderId="0" xfId="138" applyFont="1" applyFill="1" applyAlignment="1">
      <alignment vertical="top" wrapText="1"/>
      <protection/>
    </xf>
    <xf numFmtId="0" fontId="25" fillId="0" borderId="11" xfId="128" applyNumberFormat="1" applyFont="1" applyFill="1" applyBorder="1" applyAlignment="1" applyProtection="1">
      <alignment horizontal="center" vertical="center"/>
      <protection locked="0"/>
    </xf>
    <xf numFmtId="0" fontId="25" fillId="0" borderId="20" xfId="128" applyNumberFormat="1" applyFont="1" applyFill="1" applyBorder="1" applyAlignment="1" applyProtection="1">
      <alignment horizontal="center" vertical="center"/>
      <protection locked="0"/>
    </xf>
    <xf numFmtId="0" fontId="25" fillId="144" borderId="20" xfId="128" applyFont="1" applyFill="1" applyBorder="1" applyAlignment="1" applyProtection="1">
      <alignment horizontal="left" vertical="center" indent="1"/>
      <protection locked="0"/>
    </xf>
    <xf numFmtId="188" fontId="11" fillId="144" borderId="20" xfId="0" applyNumberFormat="1" applyFont="1" applyFill="1" applyBorder="1" applyAlignment="1" applyProtection="1">
      <alignment horizontal="center" wrapText="1"/>
      <protection locked="0"/>
    </xf>
    <xf numFmtId="0" fontId="11" fillId="144" borderId="20" xfId="0" applyNumberFormat="1" applyFont="1" applyFill="1" applyBorder="1" applyAlignment="1" applyProtection="1">
      <alignment horizontal="center"/>
      <protection locked="0"/>
    </xf>
    <xf numFmtId="164" fontId="11" fillId="144" borderId="61" xfId="128" applyNumberFormat="1" applyFont="1" applyFill="1" applyBorder="1" applyAlignment="1" applyProtection="1">
      <alignment horizontal="center" vertical="center"/>
      <protection locked="0"/>
    </xf>
    <xf numFmtId="0" fontId="11" fillId="144" borderId="61" xfId="0" applyNumberFormat="1" applyFont="1" applyFill="1" applyBorder="1" applyAlignment="1" applyProtection="1">
      <alignment horizontal="center" vertical="center"/>
      <protection locked="0"/>
    </xf>
    <xf numFmtId="164" fontId="11" fillId="144" borderId="20" xfId="128" applyNumberFormat="1" applyFont="1" applyFill="1" applyBorder="1" applyAlignment="1" applyProtection="1">
      <alignment horizontal="center" vertical="center"/>
      <protection locked="0"/>
    </xf>
    <xf numFmtId="0" fontId="11" fillId="144" borderId="20" xfId="0" applyNumberFormat="1" applyFont="1" applyFill="1" applyBorder="1" applyAlignment="1" applyProtection="1">
      <alignment horizontal="center" vertical="center"/>
      <protection locked="0"/>
    </xf>
    <xf numFmtId="164" fontId="11" fillId="144" borderId="61" xfId="0" applyFont="1" applyFill="1" applyBorder="1" applyAlignment="1" applyProtection="1">
      <alignment horizontal="center" vertical="center"/>
      <protection locked="0"/>
    </xf>
    <xf numFmtId="164" fontId="11" fillId="144" borderId="20" xfId="0" applyFont="1" applyFill="1" applyBorder="1" applyAlignment="1" applyProtection="1">
      <alignment horizontal="center" vertical="center"/>
      <protection locked="0"/>
    </xf>
    <xf numFmtId="0" fontId="24" fillId="145" borderId="20" xfId="128" applyFont="1" applyFill="1" applyBorder="1" applyAlignment="1" applyProtection="1">
      <alignment horizontal="center" vertical="center"/>
      <protection/>
    </xf>
    <xf numFmtId="14" fontId="11" fillId="144" borderId="20" xfId="0" applyNumberFormat="1" applyFont="1" applyFill="1" applyBorder="1" applyAlignment="1" applyProtection="1">
      <alignment horizontal="center"/>
      <protection locked="0"/>
    </xf>
    <xf numFmtId="172" fontId="11" fillId="0" borderId="11" xfId="0" applyNumberFormat="1" applyFont="1" applyBorder="1" applyAlignment="1">
      <alignment horizontal="right" vertical="center" wrapText="1" indent="5"/>
    </xf>
    <xf numFmtId="164" fontId="24" fillId="146" borderId="52" xfId="136" applyFont="1" applyFill="1" applyBorder="1" applyAlignment="1">
      <alignment horizontal="center" vertical="top"/>
      <protection/>
    </xf>
    <xf numFmtId="164" fontId="24" fillId="147" borderId="52" xfId="136" applyFont="1" applyFill="1" applyBorder="1" applyAlignment="1">
      <alignment horizontal="center" vertical="top" wrapText="1"/>
      <protection/>
    </xf>
    <xf numFmtId="164" fontId="11" fillId="0" borderId="0" xfId="136" applyFont="1" applyAlignment="1">
      <alignment vertical="top"/>
      <protection/>
    </xf>
    <xf numFmtId="164" fontId="0" fillId="0" borderId="0" xfId="0" applyAlignment="1">
      <alignment vertical="top"/>
    </xf>
    <xf numFmtId="164" fontId="59" fillId="0" borderId="8" xfId="139" applyFont="1" applyBorder="1" applyAlignment="1">
      <alignment/>
      <protection/>
    </xf>
    <xf numFmtId="164" fontId="19" fillId="0" borderId="8" xfId="139" applyFont="1" applyBorder="1" applyAlignment="1">
      <alignment/>
      <protection/>
    </xf>
    <xf numFmtId="0" fontId="30" fillId="0" borderId="20" xfId="140" applyFont="1" applyFill="1" applyBorder="1" applyAlignment="1">
      <alignment horizontal="center" vertical="center" wrapText="1"/>
      <protection/>
    </xf>
    <xf numFmtId="164" fontId="10" fillId="0" borderId="20" xfId="139" applyFont="1" applyBorder="1" applyAlignment="1">
      <alignment horizontal="center" vertical="center"/>
      <protection/>
    </xf>
    <xf numFmtId="164" fontId="59" fillId="0" borderId="0" xfId="0" applyFont="1" applyBorder="1" applyAlignment="1">
      <alignment/>
    </xf>
    <xf numFmtId="164" fontId="19" fillId="0" borderId="0" xfId="0" applyFont="1" applyBorder="1" applyAlignment="1">
      <alignment/>
    </xf>
    <xf numFmtId="164" fontId="19" fillId="0" borderId="0" xfId="0" applyFont="1" applyBorder="1" applyAlignment="1">
      <alignment horizontal="right"/>
    </xf>
    <xf numFmtId="164" fontId="109" fillId="0" borderId="8" xfId="0" applyFont="1" applyBorder="1" applyAlignment="1">
      <alignment vertical="top" wrapText="1"/>
    </xf>
    <xf numFmtId="14" fontId="110" fillId="148" borderId="62" xfId="0" applyNumberFormat="1" applyFont="1" applyFill="1" applyBorder="1" applyAlignment="1">
      <alignment horizontal="center" vertical="top"/>
    </xf>
    <xf numFmtId="164" fontId="110" fillId="148" borderId="63" xfId="0" applyFont="1" applyFill="1" applyBorder="1" applyAlignment="1">
      <alignment vertical="top" wrapText="1"/>
    </xf>
    <xf numFmtId="164" fontId="110" fillId="148" borderId="64" xfId="0" applyFont="1" applyFill="1" applyBorder="1" applyAlignment="1">
      <alignment horizontal="center" vertical="top"/>
    </xf>
    <xf numFmtId="0" fontId="68" fillId="0" borderId="0" xfId="124" applyFont="1" applyFill="1" applyAlignment="1">
      <alignment vertical="center"/>
      <protection/>
    </xf>
    <xf numFmtId="0" fontId="68" fillId="23" borderId="0" xfId="108" applyFont="1" applyFill="1" applyAlignment="1">
      <alignment vertical="center"/>
      <protection/>
    </xf>
    <xf numFmtId="0" fontId="68" fillId="23" borderId="0" xfId="124" applyFont="1" applyFill="1" applyAlignment="1">
      <alignment vertical="center"/>
      <protection/>
    </xf>
    <xf numFmtId="0" fontId="21" fillId="149" borderId="45" xfId="130" applyFont="1" applyFill="1" applyBorder="1" applyAlignment="1">
      <alignment vertical="center"/>
      <protection/>
    </xf>
    <xf numFmtId="0" fontId="21" fillId="150" borderId="51" xfId="124" applyFont="1" applyFill="1" applyBorder="1" applyAlignment="1">
      <alignment vertical="center"/>
      <protection/>
    </xf>
    <xf numFmtId="0" fontId="21" fillId="151" borderId="51" xfId="130" applyFont="1" applyFill="1" applyBorder="1" applyAlignment="1">
      <alignment horizontal="right" vertical="center"/>
      <protection/>
    </xf>
    <xf numFmtId="0" fontId="21" fillId="152" borderId="51" xfId="130" applyNumberFormat="1" applyFont="1" applyFill="1" applyBorder="1" applyAlignment="1">
      <alignment vertical="center"/>
      <protection/>
    </xf>
    <xf numFmtId="0" fontId="21" fillId="153" borderId="21" xfId="130" applyFont="1" applyFill="1" applyBorder="1" applyAlignment="1">
      <alignment horizontal="left" vertical="center"/>
      <protection/>
    </xf>
    <xf numFmtId="0" fontId="19" fillId="0" borderId="0" xfId="127" applyFont="1" applyFill="1" applyBorder="1" applyAlignment="1" applyProtection="1" quotePrefix="1">
      <alignment horizontal="right" vertical="center"/>
      <protection/>
    </xf>
    <xf numFmtId="164" fontId="110" fillId="0" borderId="64" xfId="0" applyFont="1" applyFill="1" applyBorder="1" applyAlignment="1">
      <alignment horizontal="center" vertical="top"/>
    </xf>
    <xf numFmtId="164" fontId="110" fillId="0" borderId="63" xfId="0" applyFont="1" applyFill="1" applyBorder="1" applyAlignment="1">
      <alignment vertical="top" wrapText="1"/>
    </xf>
    <xf numFmtId="14" fontId="110" fillId="0" borderId="62" xfId="0" applyNumberFormat="1" applyFont="1" applyFill="1" applyBorder="1" applyAlignment="1">
      <alignment horizontal="center" vertical="top"/>
    </xf>
    <xf numFmtId="0" fontId="95" fillId="31" borderId="36" xfId="47" applyBorder="1" applyAlignment="1">
      <alignment horizontal="center" vertical="center" textRotation="90" wrapText="1"/>
    </xf>
    <xf numFmtId="0" fontId="95" fillId="31" borderId="32" xfId="47" applyBorder="1" applyAlignment="1">
      <alignment horizontal="center" vertical="center" textRotation="90" wrapText="1"/>
    </xf>
    <xf numFmtId="0" fontId="95" fillId="35" borderId="38" xfId="51" applyBorder="1" applyAlignment="1">
      <alignment horizontal="center" vertical="center" textRotation="90" wrapText="1"/>
    </xf>
    <xf numFmtId="0" fontId="3" fillId="0" borderId="0" xfId="108" applyAlignment="1">
      <alignment horizontal="left"/>
      <protection/>
    </xf>
    <xf numFmtId="0" fontId="95" fillId="31" borderId="38" xfId="47" applyBorder="1" applyAlignment="1">
      <alignment horizontal="center" vertical="center" textRotation="90" wrapText="1"/>
    </xf>
    <xf numFmtId="0" fontId="95" fillId="33" borderId="38" xfId="49" applyBorder="1" applyAlignment="1">
      <alignment horizontal="center" vertical="center" textRotation="90" wrapText="1"/>
    </xf>
    <xf numFmtId="0" fontId="95" fillId="36" borderId="38" xfId="52" applyBorder="1" applyAlignment="1">
      <alignment horizontal="center" vertical="center" textRotation="90" wrapText="1"/>
    </xf>
    <xf numFmtId="0" fontId="95" fillId="29" borderId="38" xfId="45" applyBorder="1" applyAlignment="1">
      <alignment horizontal="center" vertical="center" textRotation="90" wrapText="1"/>
    </xf>
    <xf numFmtId="0" fontId="95" fillId="27" borderId="38" xfId="43" applyBorder="1" applyAlignment="1">
      <alignment horizontal="center" vertical="center" textRotation="90" wrapText="1"/>
    </xf>
    <xf numFmtId="164" fontId="37" fillId="0" borderId="0" xfId="0" applyFont="1" applyFill="1" applyBorder="1" applyAlignment="1">
      <alignment/>
    </xf>
    <xf numFmtId="164" fontId="37" fillId="0" borderId="8" xfId="0" applyFont="1" applyFill="1" applyBorder="1" applyAlignment="1">
      <alignment/>
    </xf>
    <xf numFmtId="164" fontId="60" fillId="0" borderId="0" xfId="0" applyFont="1" applyBorder="1" applyAlignment="1">
      <alignment vertical="top" wrapText="1"/>
    </xf>
    <xf numFmtId="0" fontId="24" fillId="0" borderId="0" xfId="140" applyFont="1" applyBorder="1" applyAlignment="1">
      <alignment vertical="center" wrapText="1"/>
      <protection/>
    </xf>
    <xf numFmtId="164" fontId="24" fillId="0" borderId="0" xfId="0" applyFont="1" applyBorder="1" applyAlignment="1">
      <alignment horizontal="left" vertical="top" wrapText="1"/>
    </xf>
    <xf numFmtId="164" fontId="60" fillId="0" borderId="0" xfId="0" applyFont="1" applyBorder="1" applyAlignment="1">
      <alignment horizontal="left" vertical="top" wrapText="1"/>
    </xf>
    <xf numFmtId="0" fontId="24" fillId="0" borderId="0" xfId="140" applyFont="1" applyBorder="1" applyAlignment="1">
      <alignment horizontal="left" vertical="center" wrapText="1" indent="1"/>
      <protection/>
    </xf>
    <xf numFmtId="164" fontId="60" fillId="0" borderId="0" xfId="0" applyFont="1" applyAlignment="1">
      <alignment vertical="top" wrapText="1"/>
    </xf>
    <xf numFmtId="164" fontId="24" fillId="0" borderId="0" xfId="139" applyFont="1" applyBorder="1" applyAlignment="1">
      <alignment vertical="top" wrapText="1"/>
      <protection/>
    </xf>
    <xf numFmtId="164" fontId="24" fillId="0" borderId="65" xfId="139" applyFont="1" applyBorder="1" applyAlignment="1">
      <alignment horizontal="center"/>
      <protection/>
    </xf>
    <xf numFmtId="164" fontId="37" fillId="0" borderId="0" xfId="139" applyFont="1" applyAlignment="1">
      <alignment horizontal="center"/>
      <protection/>
    </xf>
    <xf numFmtId="164" fontId="21" fillId="0" borderId="0" xfId="139" applyFont="1" applyAlignment="1">
      <alignment horizontal="left" vertical="distributed"/>
      <protection/>
    </xf>
    <xf numFmtId="164" fontId="107" fillId="0" borderId="0" xfId="139" applyFont="1" applyAlignment="1">
      <alignment horizontal="center" vertical="center"/>
      <protection/>
    </xf>
    <xf numFmtId="164" fontId="35" fillId="0" borderId="0" xfId="0" applyFont="1" applyAlignment="1">
      <alignment horizontal="left" wrapText="1"/>
    </xf>
    <xf numFmtId="164" fontId="30" fillId="0" borderId="28" xfId="139" applyFont="1" applyBorder="1" applyAlignment="1">
      <alignment horizontal="left" indent="1"/>
      <protection/>
    </xf>
    <xf numFmtId="164" fontId="30" fillId="0" borderId="66" xfId="139" applyFont="1" applyBorder="1" applyAlignment="1">
      <alignment/>
      <protection/>
    </xf>
    <xf numFmtId="164" fontId="24" fillId="0" borderId="0" xfId="139" applyFont="1" applyBorder="1" applyAlignment="1">
      <alignment/>
      <protection/>
    </xf>
    <xf numFmtId="164" fontId="24" fillId="0" borderId="0" xfId="139" applyFont="1" applyBorder="1" applyAlignment="1">
      <alignment horizontal="left"/>
      <protection/>
    </xf>
    <xf numFmtId="49" fontId="24" fillId="0" borderId="0" xfId="139" applyNumberFormat="1" applyFont="1" applyBorder="1" applyAlignment="1">
      <alignment/>
      <protection/>
    </xf>
    <xf numFmtId="49" fontId="30" fillId="0" borderId="0" xfId="139" applyNumberFormat="1" applyFont="1" applyBorder="1" applyAlignment="1">
      <alignment/>
      <protection/>
    </xf>
    <xf numFmtId="0" fontId="30" fillId="0" borderId="44" xfId="140" applyFont="1" applyFill="1" applyBorder="1" applyAlignment="1">
      <alignment horizontal="center" vertical="center" wrapText="1"/>
      <protection/>
    </xf>
    <xf numFmtId="0" fontId="30" fillId="0" borderId="53" xfId="140" applyFont="1" applyFill="1" applyBorder="1" applyAlignment="1">
      <alignment horizontal="center" vertical="center" wrapText="1"/>
      <protection/>
    </xf>
    <xf numFmtId="0" fontId="30" fillId="0" borderId="54" xfId="140" applyFont="1" applyFill="1" applyBorder="1" applyAlignment="1">
      <alignment horizontal="center" vertical="center" wrapText="1"/>
      <protection/>
    </xf>
    <xf numFmtId="164" fontId="37" fillId="0" borderId="30" xfId="0" applyFont="1" applyBorder="1" applyAlignment="1">
      <alignment horizontal="center" vertical="center" wrapText="1"/>
    </xf>
    <xf numFmtId="164" fontId="37" fillId="0" borderId="0" xfId="0" applyFont="1" applyBorder="1" applyAlignment="1">
      <alignment horizontal="center" vertical="center" wrapText="1"/>
    </xf>
    <xf numFmtId="0" fontId="25" fillId="144" borderId="45" xfId="128" applyFont="1" applyFill="1" applyBorder="1" applyAlignment="1" applyProtection="1">
      <alignment horizontal="left" vertical="top" indent="1"/>
      <protection locked="0"/>
    </xf>
    <xf numFmtId="0" fontId="25" fillId="144" borderId="51" xfId="128" applyFont="1" applyFill="1" applyBorder="1" applyAlignment="1" applyProtection="1">
      <alignment horizontal="left" vertical="top" indent="1"/>
      <protection locked="0"/>
    </xf>
    <xf numFmtId="0" fontId="25" fillId="144" borderId="21" xfId="128" applyFont="1" applyFill="1" applyBorder="1" applyAlignment="1" applyProtection="1">
      <alignment horizontal="left" vertical="top" indent="1"/>
      <protection locked="0"/>
    </xf>
    <xf numFmtId="0" fontId="24" fillId="154" borderId="20" xfId="128" applyFont="1" applyFill="1" applyBorder="1" applyAlignment="1">
      <alignment horizontal="center" vertical="center"/>
      <protection/>
    </xf>
    <xf numFmtId="0" fontId="24" fillId="155" borderId="20" xfId="128" applyFont="1" applyFill="1" applyBorder="1" applyAlignment="1" applyProtection="1">
      <alignment horizontal="right" vertical="center" indent="1"/>
      <protection/>
    </xf>
    <xf numFmtId="0" fontId="25" fillId="0" borderId="45" xfId="128" applyFont="1" applyFill="1" applyBorder="1" applyAlignment="1" applyProtection="1">
      <alignment horizontal="left" vertical="center" indent="1"/>
      <protection locked="0"/>
    </xf>
    <xf numFmtId="0" fontId="25" fillId="0" borderId="51" xfId="128" applyFont="1" applyFill="1" applyBorder="1" applyAlignment="1" applyProtection="1">
      <alignment horizontal="left" vertical="center" indent="1"/>
      <protection locked="0"/>
    </xf>
    <xf numFmtId="164" fontId="0" fillId="0" borderId="21" xfId="0" applyFont="1" applyFill="1" applyBorder="1" applyAlignment="1" applyProtection="1">
      <alignment horizontal="left" vertical="center" indent="1"/>
      <protection locked="0"/>
    </xf>
    <xf numFmtId="0" fontId="24" fillId="0" borderId="45" xfId="128" applyFont="1" applyFill="1" applyBorder="1" applyAlignment="1" applyProtection="1">
      <alignment horizontal="center" vertical="center"/>
      <protection locked="0"/>
    </xf>
    <xf numFmtId="0" fontId="24" fillId="0" borderId="21" xfId="128" applyFont="1" applyFill="1" applyBorder="1" applyAlignment="1" applyProtection="1">
      <alignment horizontal="center" vertical="center"/>
      <protection locked="0"/>
    </xf>
    <xf numFmtId="0" fontId="24" fillId="156" borderId="45" xfId="128" applyFont="1" applyFill="1" applyBorder="1" applyAlignment="1" applyProtection="1">
      <alignment horizontal="right" vertical="center" indent="1"/>
      <protection/>
    </xf>
    <xf numFmtId="0" fontId="24" fillId="157" borderId="51" xfId="128" applyFont="1" applyFill="1" applyBorder="1" applyAlignment="1" applyProtection="1">
      <alignment horizontal="right" vertical="center" indent="1"/>
      <protection/>
    </xf>
    <xf numFmtId="0" fontId="24" fillId="158" borderId="21" xfId="128" applyFont="1" applyFill="1" applyBorder="1" applyAlignment="1" applyProtection="1">
      <alignment horizontal="right" vertical="center" indent="1"/>
      <protection/>
    </xf>
    <xf numFmtId="0" fontId="25" fillId="0" borderId="45" xfId="128" applyNumberFormat="1" applyFont="1" applyFill="1" applyBorder="1" applyAlignment="1" applyProtection="1">
      <alignment horizontal="left" vertical="center" indent="1"/>
      <protection locked="0"/>
    </xf>
    <xf numFmtId="0" fontId="25" fillId="0" borderId="21" xfId="128" applyNumberFormat="1" applyFont="1" applyFill="1" applyBorder="1" applyAlignment="1" applyProtection="1">
      <alignment horizontal="left" vertical="center" indent="1"/>
      <protection locked="0"/>
    </xf>
    <xf numFmtId="0" fontId="21" fillId="144" borderId="44" xfId="128" applyFont="1" applyFill="1" applyBorder="1" applyAlignment="1" applyProtection="1">
      <alignment horizontal="left" vertical="center" indent="1"/>
      <protection locked="0"/>
    </xf>
    <xf numFmtId="0" fontId="21" fillId="144" borderId="53" xfId="128" applyFont="1" applyFill="1" applyBorder="1" applyAlignment="1" applyProtection="1">
      <alignment horizontal="left" vertical="center" indent="1"/>
      <protection locked="0"/>
    </xf>
    <xf numFmtId="0" fontId="21" fillId="144" borderId="54" xfId="128" applyFont="1" applyFill="1" applyBorder="1" applyAlignment="1" applyProtection="1">
      <alignment horizontal="left" vertical="center" indent="1"/>
      <protection locked="0"/>
    </xf>
    <xf numFmtId="0" fontId="21" fillId="144" borderId="45" xfId="128" applyFont="1" applyFill="1" applyBorder="1" applyAlignment="1" applyProtection="1">
      <alignment horizontal="left" vertical="center" indent="1"/>
      <protection locked="0"/>
    </xf>
    <xf numFmtId="0" fontId="21" fillId="144" borderId="51" xfId="128" applyFont="1" applyFill="1" applyBorder="1" applyAlignment="1" applyProtection="1">
      <alignment horizontal="left" vertical="center" indent="1"/>
      <protection locked="0"/>
    </xf>
    <xf numFmtId="0" fontId="21" fillId="144" borderId="21" xfId="128" applyFont="1" applyFill="1" applyBorder="1" applyAlignment="1" applyProtection="1">
      <alignment horizontal="left" vertical="center" indent="1"/>
      <protection locked="0"/>
    </xf>
    <xf numFmtId="0" fontId="25" fillId="144" borderId="45" xfId="128" applyFont="1" applyFill="1" applyBorder="1" applyAlignment="1" applyProtection="1">
      <alignment horizontal="left" vertical="center" indent="1"/>
      <protection locked="0"/>
    </xf>
    <xf numFmtId="0" fontId="25" fillId="144" borderId="51" xfId="128" applyFont="1" applyFill="1" applyBorder="1" applyAlignment="1" applyProtection="1">
      <alignment horizontal="left" vertical="center" indent="1"/>
      <protection locked="0"/>
    </xf>
    <xf numFmtId="0" fontId="25" fillId="144" borderId="21" xfId="128" applyFont="1" applyFill="1" applyBorder="1" applyAlignment="1" applyProtection="1">
      <alignment horizontal="left" vertical="center" indent="1"/>
      <protection locked="0"/>
    </xf>
    <xf numFmtId="0" fontId="25" fillId="0" borderId="21" xfId="128" applyFont="1" applyFill="1" applyBorder="1" applyAlignment="1" applyProtection="1">
      <alignment horizontal="left" vertical="center" indent="1"/>
      <protection locked="0"/>
    </xf>
    <xf numFmtId="164" fontId="24" fillId="159" borderId="20" xfId="0" applyFont="1" applyFill="1" applyBorder="1" applyAlignment="1" applyProtection="1">
      <alignment horizontal="right" vertical="center" indent="1"/>
      <protection/>
    </xf>
    <xf numFmtId="0" fontId="24" fillId="160" borderId="11" xfId="128" applyFont="1" applyFill="1" applyBorder="1" applyAlignment="1" applyProtection="1" quotePrefix="1">
      <alignment horizontal="right" vertical="center" indent="1"/>
      <protection/>
    </xf>
    <xf numFmtId="164" fontId="24" fillId="161" borderId="11" xfId="0" applyFont="1" applyFill="1" applyBorder="1" applyAlignment="1" applyProtection="1">
      <alignment horizontal="right" vertical="center" indent="1"/>
      <protection/>
    </xf>
    <xf numFmtId="164" fontId="0" fillId="0" borderId="51" xfId="0" applyFont="1" applyFill="1" applyBorder="1" applyAlignment="1" applyProtection="1">
      <alignment horizontal="left" vertical="center" indent="1"/>
      <protection locked="0"/>
    </xf>
    <xf numFmtId="0" fontId="24" fillId="162" borderId="45" xfId="128" applyFont="1" applyFill="1" applyBorder="1" applyAlignment="1" applyProtection="1">
      <alignment horizontal="left" vertical="center" indent="1"/>
      <protection/>
    </xf>
    <xf numFmtId="0" fontId="24" fillId="163" borderId="51" xfId="128" applyFont="1" applyFill="1" applyBorder="1" applyAlignment="1" applyProtection="1">
      <alignment horizontal="left" vertical="center" indent="1"/>
      <protection/>
    </xf>
    <xf numFmtId="0" fontId="24" fillId="164" borderId="21" xfId="128" applyFont="1" applyFill="1" applyBorder="1" applyAlignment="1" applyProtection="1">
      <alignment horizontal="left" vertical="center" indent="1"/>
      <protection/>
    </xf>
    <xf numFmtId="164" fontId="21" fillId="165" borderId="20" xfId="0" applyFont="1" applyFill="1" applyBorder="1" applyAlignment="1" applyProtection="1">
      <alignment horizontal="right" vertical="center" indent="1"/>
      <protection/>
    </xf>
    <xf numFmtId="164" fontId="25" fillId="0" borderId="45" xfId="0" applyFont="1" applyFill="1" applyBorder="1" applyAlignment="1" applyProtection="1">
      <alignment horizontal="left" vertical="center" indent="1"/>
      <protection locked="0"/>
    </xf>
    <xf numFmtId="164" fontId="25" fillId="0" borderId="21" xfId="0" applyFont="1" applyFill="1" applyBorder="1" applyAlignment="1" applyProtection="1">
      <alignment horizontal="left" vertical="center" indent="1"/>
      <protection locked="0"/>
    </xf>
    <xf numFmtId="0" fontId="24" fillId="0" borderId="45" xfId="128" applyFont="1" applyFill="1" applyBorder="1" applyAlignment="1" applyProtection="1">
      <alignment horizontal="right" vertical="center" indent="1"/>
      <protection locked="0"/>
    </xf>
    <xf numFmtId="0" fontId="24" fillId="0" borderId="51" xfId="128" applyFont="1" applyFill="1" applyBorder="1" applyAlignment="1" applyProtection="1">
      <alignment horizontal="right" vertical="center" indent="1"/>
      <protection locked="0"/>
    </xf>
    <xf numFmtId="0" fontId="25" fillId="0" borderId="51" xfId="128" applyNumberFormat="1" applyFont="1" applyFill="1" applyBorder="1" applyAlignment="1" applyProtection="1">
      <alignment horizontal="left" vertical="center" indent="1"/>
      <protection locked="0"/>
    </xf>
    <xf numFmtId="0" fontId="23" fillId="0" borderId="8" xfId="0" applyNumberFormat="1" applyFont="1" applyFill="1" applyBorder="1" applyAlignment="1" applyProtection="1">
      <alignment horizontal="left" indent="1"/>
      <protection locked="0"/>
    </xf>
    <xf numFmtId="0" fontId="24" fillId="166" borderId="44" xfId="128" applyFont="1" applyFill="1" applyBorder="1" applyAlignment="1" applyProtection="1">
      <alignment horizontal="right" vertical="center" indent="1"/>
      <protection/>
    </xf>
    <xf numFmtId="0" fontId="24" fillId="167" borderId="53" xfId="128" applyFont="1" applyFill="1" applyBorder="1" applyAlignment="1" applyProtection="1">
      <alignment horizontal="right" vertical="center" indent="1"/>
      <protection/>
    </xf>
    <xf numFmtId="0" fontId="24" fillId="168" borderId="54" xfId="128" applyFont="1" applyFill="1" applyBorder="1" applyAlignment="1" applyProtection="1">
      <alignment horizontal="right" vertical="center" indent="1"/>
      <protection/>
    </xf>
    <xf numFmtId="14" fontId="25" fillId="0" borderId="44" xfId="128" applyNumberFormat="1" applyFont="1" applyFill="1" applyBorder="1" applyAlignment="1" applyProtection="1">
      <alignment horizontal="left" vertical="center" indent="1"/>
      <protection locked="0"/>
    </xf>
    <xf numFmtId="14" fontId="25" fillId="0" borderId="54" xfId="128" applyNumberFormat="1" applyFont="1" applyFill="1" applyBorder="1" applyAlignment="1" applyProtection="1">
      <alignment horizontal="left" vertical="center" indent="1"/>
      <protection locked="0"/>
    </xf>
    <xf numFmtId="164" fontId="21" fillId="169" borderId="20" xfId="0" applyFont="1" applyFill="1" applyBorder="1" applyAlignment="1">
      <alignment horizontal="right" indent="1"/>
    </xf>
    <xf numFmtId="164" fontId="21" fillId="0" borderId="20" xfId="0" applyFont="1" applyFill="1" applyBorder="1" applyAlignment="1" applyProtection="1">
      <alignment horizontal="left" vertical="center" indent="1"/>
      <protection locked="0"/>
    </xf>
    <xf numFmtId="164" fontId="21" fillId="170" borderId="24" xfId="0" applyFont="1" applyFill="1" applyBorder="1" applyAlignment="1">
      <alignment horizontal="right" indent="1"/>
    </xf>
    <xf numFmtId="49" fontId="25" fillId="0" borderId="45" xfId="0" applyNumberFormat="1" applyFont="1" applyFill="1" applyBorder="1" applyAlignment="1" applyProtection="1">
      <alignment horizontal="center" vertical="center"/>
      <protection locked="0"/>
    </xf>
    <xf numFmtId="49" fontId="25" fillId="0" borderId="21" xfId="0" applyNumberFormat="1" applyFont="1" applyFill="1" applyBorder="1" applyAlignment="1" applyProtection="1">
      <alignment horizontal="center" vertical="center"/>
      <protection locked="0"/>
    </xf>
    <xf numFmtId="164" fontId="21" fillId="171" borderId="51" xfId="0" applyFont="1" applyFill="1" applyBorder="1" applyAlignment="1" applyProtection="1">
      <alignment horizontal="center" vertical="center"/>
      <protection/>
    </xf>
    <xf numFmtId="164" fontId="0" fillId="172" borderId="51" xfId="0" applyFill="1" applyBorder="1" applyAlignment="1">
      <alignment horizontal="center" vertical="center"/>
    </xf>
    <xf numFmtId="164" fontId="0" fillId="173" borderId="21" xfId="0" applyFill="1" applyBorder="1" applyAlignment="1">
      <alignment horizontal="center" vertical="center"/>
    </xf>
    <xf numFmtId="164" fontId="21" fillId="174" borderId="45" xfId="0" applyFont="1" applyFill="1" applyBorder="1" applyAlignment="1" applyProtection="1">
      <alignment horizontal="right" vertical="center" indent="1"/>
      <protection/>
    </xf>
    <xf numFmtId="164" fontId="21" fillId="175" borderId="51" xfId="0" applyFont="1" applyFill="1" applyBorder="1" applyAlignment="1" applyProtection="1">
      <alignment horizontal="right" vertical="center" indent="1"/>
      <protection/>
    </xf>
    <xf numFmtId="164" fontId="21" fillId="176" borderId="21" xfId="0" applyFont="1" applyFill="1" applyBorder="1" applyAlignment="1" applyProtection="1">
      <alignment horizontal="right" vertical="center" indent="1"/>
      <protection/>
    </xf>
    <xf numFmtId="164" fontId="20" fillId="177" borderId="20" xfId="0" applyFont="1" applyFill="1" applyBorder="1" applyAlignment="1">
      <alignment horizontal="center" vertical="center" wrapText="1"/>
    </xf>
    <xf numFmtId="164" fontId="20" fillId="178" borderId="20" xfId="0" applyFont="1" applyFill="1" applyBorder="1" applyAlignment="1">
      <alignment horizontal="center" vertical="center"/>
    </xf>
    <xf numFmtId="164" fontId="43" fillId="179" borderId="45" xfId="0" applyFont="1" applyFill="1" applyBorder="1" applyAlignment="1" applyProtection="1">
      <alignment horizontal="right" vertical="center"/>
      <protection/>
    </xf>
    <xf numFmtId="164" fontId="43" fillId="180" borderId="51" xfId="0" applyFont="1" applyFill="1" applyBorder="1" applyAlignment="1" applyProtection="1">
      <alignment horizontal="right" vertical="center"/>
      <protection/>
    </xf>
    <xf numFmtId="164" fontId="21" fillId="181" borderId="51" xfId="0" applyFont="1" applyFill="1" applyBorder="1" applyAlignment="1" applyProtection="1">
      <alignment horizontal="left" vertical="center" wrapText="1"/>
      <protection/>
    </xf>
    <xf numFmtId="164" fontId="21" fillId="182" borderId="21" xfId="0" applyFont="1" applyFill="1" applyBorder="1" applyAlignment="1" applyProtection="1">
      <alignment horizontal="left" vertical="center" wrapText="1"/>
      <protection/>
    </xf>
    <xf numFmtId="164" fontId="30" fillId="183" borderId="51" xfId="0" applyFont="1" applyFill="1" applyBorder="1" applyAlignment="1" applyProtection="1">
      <alignment horizontal="left" vertical="center" wrapText="1"/>
      <protection/>
    </xf>
    <xf numFmtId="164" fontId="30" fillId="184" borderId="21" xfId="0" applyFont="1" applyFill="1" applyBorder="1" applyAlignment="1" applyProtection="1">
      <alignment horizontal="left" vertical="center" wrapText="1"/>
      <protection/>
    </xf>
    <xf numFmtId="164" fontId="31" fillId="16" borderId="52" xfId="0" applyFont="1" applyFill="1" applyBorder="1" applyAlignment="1" applyProtection="1">
      <alignment horizontal="center" vertical="center"/>
      <protection/>
    </xf>
    <xf numFmtId="0" fontId="11" fillId="144" borderId="20" xfId="0" applyNumberFormat="1" applyFont="1" applyFill="1" applyBorder="1" applyAlignment="1" applyProtection="1">
      <alignment horizontal="left" vertical="center" indent="1"/>
      <protection locked="0"/>
    </xf>
    <xf numFmtId="164" fontId="24" fillId="185" borderId="67" xfId="0" applyFont="1" applyFill="1" applyBorder="1" applyAlignment="1" applyProtection="1">
      <alignment horizontal="center" vertical="center" wrapText="1"/>
      <protection/>
    </xf>
    <xf numFmtId="164" fontId="24" fillId="186" borderId="68" xfId="0" applyFont="1" applyFill="1" applyBorder="1" applyAlignment="1" applyProtection="1">
      <alignment horizontal="center" vertical="center" wrapText="1"/>
      <protection/>
    </xf>
    <xf numFmtId="0" fontId="11" fillId="144" borderId="20" xfId="0" applyNumberFormat="1" applyFont="1" applyFill="1" applyBorder="1" applyAlignment="1" applyProtection="1">
      <alignment horizontal="left"/>
      <protection locked="0"/>
    </xf>
    <xf numFmtId="164" fontId="11" fillId="144" borderId="20" xfId="0" applyFont="1" applyFill="1" applyBorder="1" applyAlignment="1" applyProtection="1">
      <alignment horizontal="center" vertical="center"/>
      <protection locked="0"/>
    </xf>
    <xf numFmtId="164" fontId="11" fillId="144" borderId="61" xfId="128" applyNumberFormat="1" applyFont="1" applyFill="1" applyBorder="1" applyAlignment="1" applyProtection="1">
      <alignment horizontal="center" vertical="center"/>
      <protection locked="0"/>
    </xf>
    <xf numFmtId="164" fontId="11" fillId="144" borderId="20" xfId="128" applyNumberFormat="1" applyFont="1" applyFill="1" applyBorder="1" applyAlignment="1" applyProtection="1">
      <alignment horizontal="center" vertical="center"/>
      <protection locked="0"/>
    </xf>
    <xf numFmtId="164" fontId="11" fillId="144" borderId="20" xfId="0" applyFont="1" applyFill="1" applyBorder="1" applyAlignment="1" applyProtection="1">
      <alignment horizontal="left" vertical="center" indent="1"/>
      <protection locked="0"/>
    </xf>
    <xf numFmtId="174" fontId="25" fillId="144" borderId="11" xfId="128" applyNumberFormat="1" applyFont="1" applyFill="1" applyBorder="1" applyAlignment="1" applyProtection="1">
      <alignment horizontal="center" vertical="center"/>
      <protection locked="0"/>
    </xf>
    <xf numFmtId="0" fontId="24" fillId="187" borderId="12" xfId="128" applyFont="1" applyFill="1" applyBorder="1" applyAlignment="1" applyProtection="1">
      <alignment horizontal="right" vertical="center" indent="1"/>
      <protection/>
    </xf>
    <xf numFmtId="0" fontId="24" fillId="188" borderId="66" xfId="128" applyFont="1" applyFill="1" applyBorder="1" applyAlignment="1" applyProtection="1">
      <alignment horizontal="right" vertical="center" indent="1"/>
      <protection/>
    </xf>
    <xf numFmtId="0" fontId="24" fillId="189" borderId="19" xfId="128" applyFont="1" applyFill="1" applyBorder="1" applyAlignment="1" applyProtection="1">
      <alignment horizontal="right" vertical="center" indent="1"/>
      <protection/>
    </xf>
    <xf numFmtId="0" fontId="25" fillId="144" borderId="20" xfId="128" applyFont="1" applyFill="1" applyBorder="1" applyAlignment="1" applyProtection="1">
      <alignment horizontal="left" vertical="center" indent="1"/>
      <protection locked="0"/>
    </xf>
    <xf numFmtId="164" fontId="11" fillId="144" borderId="61" xfId="0" applyFont="1" applyFill="1" applyBorder="1" applyAlignment="1" applyProtection="1">
      <alignment horizontal="center" vertical="center"/>
      <protection locked="0"/>
    </xf>
    <xf numFmtId="164" fontId="11" fillId="190" borderId="11" xfId="0" applyFont="1" applyFill="1" applyBorder="1" applyAlignment="1" applyProtection="1">
      <alignment horizontal="left" vertical="center" indent="1"/>
      <protection/>
    </xf>
    <xf numFmtId="164" fontId="24" fillId="191" borderId="50" xfId="0" applyFont="1" applyFill="1" applyBorder="1" applyAlignment="1" applyProtection="1">
      <alignment horizontal="right" vertical="center" indent="1"/>
      <protection/>
    </xf>
    <xf numFmtId="164" fontId="24" fillId="192" borderId="27" xfId="0" applyFont="1" applyFill="1" applyBorder="1" applyAlignment="1" applyProtection="1">
      <alignment horizontal="right" vertical="center" indent="1"/>
      <protection/>
    </xf>
    <xf numFmtId="0" fontId="24" fillId="193" borderId="69" xfId="0" applyNumberFormat="1" applyFont="1" applyFill="1" applyBorder="1" applyAlignment="1" applyProtection="1">
      <alignment horizontal="left" vertical="center" indent="1"/>
      <protection/>
    </xf>
    <xf numFmtId="0" fontId="24" fillId="194" borderId="10" xfId="0" applyNumberFormat="1" applyFont="1" applyFill="1" applyBorder="1" applyAlignment="1" applyProtection="1">
      <alignment horizontal="left" vertical="center" indent="1"/>
      <protection/>
    </xf>
    <xf numFmtId="0" fontId="24" fillId="195" borderId="70" xfId="0" applyNumberFormat="1" applyFont="1" applyFill="1" applyBorder="1" applyAlignment="1" applyProtection="1">
      <alignment horizontal="left" vertical="center" indent="1"/>
      <protection/>
    </xf>
    <xf numFmtId="0" fontId="11" fillId="144" borderId="11" xfId="0" applyNumberFormat="1" applyFont="1" applyFill="1" applyBorder="1" applyAlignment="1" applyProtection="1">
      <alignment horizontal="left" vertical="center" indent="1"/>
      <protection locked="0"/>
    </xf>
    <xf numFmtId="164" fontId="24" fillId="196" borderId="67" xfId="0" applyFont="1" applyFill="1" applyBorder="1" applyAlignment="1" applyProtection="1">
      <alignment horizontal="left" vertical="center" wrapText="1" indent="1"/>
      <protection/>
    </xf>
    <xf numFmtId="164" fontId="24" fillId="197" borderId="23" xfId="0" applyFont="1" applyFill="1" applyBorder="1" applyAlignment="1" applyProtection="1">
      <alignment horizontal="left" vertical="center" wrapText="1" indent="1"/>
      <protection/>
    </xf>
    <xf numFmtId="164" fontId="24" fillId="198" borderId="68" xfId="0" applyFont="1" applyFill="1" applyBorder="1" applyAlignment="1" applyProtection="1">
      <alignment horizontal="left" vertical="center" wrapText="1" indent="1"/>
      <protection/>
    </xf>
    <xf numFmtId="164" fontId="11" fillId="144" borderId="61" xfId="0" applyFont="1" applyFill="1" applyBorder="1" applyAlignment="1" applyProtection="1">
      <alignment horizontal="left" vertical="center" indent="1"/>
      <protection locked="0"/>
    </xf>
    <xf numFmtId="164" fontId="24" fillId="199" borderId="48" xfId="0" applyFont="1" applyFill="1" applyBorder="1" applyAlignment="1" applyProtection="1">
      <alignment horizontal="center" vertical="center"/>
      <protection/>
    </xf>
    <xf numFmtId="164" fontId="24" fillId="200" borderId="40" xfId="0" applyFont="1" applyFill="1" applyBorder="1" applyAlignment="1" applyProtection="1">
      <alignment horizontal="center" vertical="center"/>
      <protection/>
    </xf>
    <xf numFmtId="164" fontId="24" fillId="201" borderId="71" xfId="0" applyFont="1" applyFill="1" applyBorder="1" applyAlignment="1" applyProtection="1">
      <alignment horizontal="center" vertical="center"/>
      <protection/>
    </xf>
    <xf numFmtId="164" fontId="0" fillId="202" borderId="51" xfId="0" applyFill="1" applyBorder="1" applyAlignment="1">
      <alignment horizontal="right" vertical="center" indent="1"/>
    </xf>
    <xf numFmtId="164" fontId="0" fillId="203" borderId="21" xfId="0" applyFill="1" applyBorder="1" applyAlignment="1">
      <alignment horizontal="right" vertical="center" indent="1"/>
    </xf>
    <xf numFmtId="164" fontId="21" fillId="204" borderId="52" xfId="0" applyFont="1" applyFill="1" applyBorder="1" applyAlignment="1" applyProtection="1">
      <alignment horizontal="center" vertical="center"/>
      <protection/>
    </xf>
    <xf numFmtId="164" fontId="21" fillId="205" borderId="72" xfId="0" applyFont="1" applyFill="1" applyBorder="1" applyAlignment="1" applyProtection="1">
      <alignment horizontal="center" vertical="center"/>
      <protection/>
    </xf>
    <xf numFmtId="164" fontId="43" fillId="206" borderId="51" xfId="0" applyFont="1" applyFill="1" applyBorder="1" applyAlignment="1" applyProtection="1">
      <alignment horizontal="left" vertical="center"/>
      <protection/>
    </xf>
    <xf numFmtId="164" fontId="43" fillId="207" borderId="21" xfId="0" applyFont="1" applyFill="1" applyBorder="1" applyAlignment="1" applyProtection="1">
      <alignment horizontal="left" vertical="center"/>
      <protection/>
    </xf>
    <xf numFmtId="164" fontId="31" fillId="16" borderId="58" xfId="0" applyFont="1" applyFill="1" applyBorder="1" applyAlignment="1" applyProtection="1">
      <alignment horizontal="center" vertical="center"/>
      <protection/>
    </xf>
    <xf numFmtId="164" fontId="24" fillId="208" borderId="72" xfId="0" applyFont="1" applyFill="1" applyBorder="1" applyAlignment="1" applyProtection="1">
      <alignment horizontal="center" vertical="center"/>
      <protection/>
    </xf>
    <xf numFmtId="164" fontId="24" fillId="209" borderId="73" xfId="0" applyFont="1" applyFill="1" applyBorder="1" applyAlignment="1" applyProtection="1">
      <alignment horizontal="center" vertical="center"/>
      <protection/>
    </xf>
    <xf numFmtId="164" fontId="24" fillId="210" borderId="73" xfId="0" applyFont="1" applyFill="1" applyBorder="1" applyAlignment="1" applyProtection="1">
      <alignment vertical="center"/>
      <protection/>
    </xf>
    <xf numFmtId="164" fontId="43" fillId="211" borderId="27" xfId="0" applyFont="1" applyFill="1" applyBorder="1" applyAlignment="1" applyProtection="1">
      <alignment vertical="center" wrapText="1"/>
      <protection/>
    </xf>
    <xf numFmtId="164" fontId="43" fillId="212" borderId="55" xfId="0" applyFont="1" applyFill="1" applyBorder="1" applyAlignment="1" applyProtection="1">
      <alignment vertical="center" wrapText="1"/>
      <protection/>
    </xf>
    <xf numFmtId="164" fontId="36" fillId="213" borderId="12" xfId="0" applyFont="1" applyFill="1" applyBorder="1" applyAlignment="1">
      <alignment horizontal="center" vertical="center" wrapText="1"/>
    </xf>
    <xf numFmtId="164" fontId="36" fillId="214" borderId="66" xfId="0" applyFont="1" applyFill="1" applyBorder="1" applyAlignment="1">
      <alignment horizontal="center" vertical="center" wrapText="1"/>
    </xf>
    <xf numFmtId="164" fontId="36" fillId="215" borderId="19" xfId="0" applyFont="1" applyFill="1" applyBorder="1" applyAlignment="1">
      <alignment horizontal="center" vertical="center" wrapText="1"/>
    </xf>
    <xf numFmtId="0" fontId="21" fillId="216" borderId="12" xfId="128" applyFont="1" applyFill="1" applyBorder="1" applyAlignment="1" applyProtection="1">
      <alignment horizontal="right" vertical="center" indent="1"/>
      <protection/>
    </xf>
    <xf numFmtId="0" fontId="21" fillId="217" borderId="66" xfId="128" applyFont="1" applyFill="1" applyBorder="1" applyAlignment="1" applyProtection="1">
      <alignment horizontal="right" vertical="center" indent="1"/>
      <protection/>
    </xf>
    <xf numFmtId="0" fontId="21" fillId="218" borderId="19" xfId="128" applyFont="1" applyFill="1" applyBorder="1" applyAlignment="1" applyProtection="1">
      <alignment horizontal="right" vertical="center" indent="1"/>
      <protection/>
    </xf>
    <xf numFmtId="164" fontId="21" fillId="219" borderId="71" xfId="0" applyFont="1" applyFill="1" applyBorder="1" applyAlignment="1" applyProtection="1">
      <alignment horizontal="center" vertical="center"/>
      <protection/>
    </xf>
    <xf numFmtId="164" fontId="21" fillId="220" borderId="27" xfId="0" applyFont="1" applyFill="1" applyBorder="1" applyAlignment="1" applyProtection="1">
      <alignment horizontal="left" vertical="center" wrapText="1"/>
      <protection/>
    </xf>
    <xf numFmtId="164" fontId="4" fillId="221" borderId="50" xfId="0" applyFont="1" applyFill="1" applyBorder="1" applyAlignment="1" applyProtection="1">
      <alignment horizontal="center" vertical="center"/>
      <protection/>
    </xf>
    <xf numFmtId="164" fontId="4" fillId="222" borderId="27" xfId="0" applyFont="1" applyFill="1" applyBorder="1" applyAlignment="1" applyProtection="1">
      <alignment horizontal="center" vertical="center"/>
      <protection/>
    </xf>
    <xf numFmtId="164" fontId="4" fillId="223" borderId="55" xfId="0" applyFont="1" applyFill="1" applyBorder="1" applyAlignment="1" applyProtection="1">
      <alignment horizontal="center" vertical="center"/>
      <protection/>
    </xf>
    <xf numFmtId="164" fontId="30" fillId="224" borderId="51" xfId="0" applyFont="1" applyFill="1" applyBorder="1" applyAlignment="1" applyProtection="1">
      <alignment horizontal="left" vertical="center" wrapText="1"/>
      <protection/>
    </xf>
    <xf numFmtId="164" fontId="30" fillId="225" borderId="21" xfId="0" applyFont="1" applyFill="1" applyBorder="1" applyAlignment="1" applyProtection="1">
      <alignment horizontal="left" vertical="center" wrapText="1"/>
      <protection/>
    </xf>
    <xf numFmtId="164" fontId="21" fillId="226" borderId="11" xfId="0" applyFont="1" applyFill="1" applyBorder="1" applyAlignment="1" applyProtection="1">
      <alignment horizontal="center" vertical="center"/>
      <protection/>
    </xf>
    <xf numFmtId="164" fontId="21" fillId="227" borderId="11" xfId="0" applyFont="1" applyFill="1" applyBorder="1" applyAlignment="1" applyProtection="1">
      <alignment vertical="center"/>
      <protection/>
    </xf>
    <xf numFmtId="0" fontId="24" fillId="228" borderId="45" xfId="128" applyFont="1" applyFill="1" applyBorder="1" applyAlignment="1">
      <alignment horizontal="right" vertical="center" indent="1"/>
      <protection/>
    </xf>
    <xf numFmtId="0" fontId="24" fillId="229" borderId="51" xfId="128" applyFont="1" applyFill="1" applyBorder="1" applyAlignment="1">
      <alignment horizontal="right" vertical="center" indent="1"/>
      <protection/>
    </xf>
    <xf numFmtId="164" fontId="21" fillId="230" borderId="11" xfId="0" applyFont="1" applyFill="1" applyBorder="1" applyAlignment="1" applyProtection="1">
      <alignment horizontal="right" vertical="center" indent="1"/>
      <protection/>
    </xf>
    <xf numFmtId="164" fontId="21" fillId="231" borderId="19" xfId="0" applyFont="1" applyFill="1" applyBorder="1" applyAlignment="1" applyProtection="1">
      <alignment horizontal="right" vertical="center" indent="1"/>
      <protection/>
    </xf>
    <xf numFmtId="164" fontId="24" fillId="232" borderId="41" xfId="0" applyFont="1" applyFill="1" applyBorder="1" applyAlignment="1" applyProtection="1">
      <alignment horizontal="center" vertical="center"/>
      <protection/>
    </xf>
    <xf numFmtId="164" fontId="24" fillId="233" borderId="74" xfId="0" applyFont="1" applyFill="1" applyBorder="1" applyAlignment="1" applyProtection="1">
      <alignment vertical="center"/>
      <protection/>
    </xf>
    <xf numFmtId="164" fontId="11" fillId="234" borderId="46" xfId="0" applyFont="1" applyFill="1" applyBorder="1" applyAlignment="1" applyProtection="1">
      <alignment horizontal="left" vertical="center" indent="1"/>
      <protection/>
    </xf>
    <xf numFmtId="14" fontId="25" fillId="0" borderId="45" xfId="128" applyNumberFormat="1" applyFont="1" applyFill="1" applyBorder="1" applyAlignment="1" applyProtection="1">
      <alignment horizontal="left" vertical="center" indent="1"/>
      <protection locked="0"/>
    </xf>
    <xf numFmtId="14" fontId="25" fillId="0" borderId="51" xfId="128" applyNumberFormat="1" applyFont="1" applyFill="1" applyBorder="1" applyAlignment="1" applyProtection="1">
      <alignment horizontal="left" vertical="center" indent="1"/>
      <protection locked="0"/>
    </xf>
    <xf numFmtId="14" fontId="25" fillId="0" borderId="21" xfId="128" applyNumberFormat="1" applyFont="1" applyFill="1" applyBorder="1" applyAlignment="1" applyProtection="1">
      <alignment horizontal="left" vertical="center" indent="1"/>
      <protection locked="0"/>
    </xf>
    <xf numFmtId="0" fontId="24" fillId="235" borderId="45" xfId="128" applyFont="1" applyFill="1" applyBorder="1" applyAlignment="1" applyProtection="1">
      <alignment horizontal="right" vertical="center"/>
      <protection/>
    </xf>
    <xf numFmtId="0" fontId="24" fillId="236" borderId="51" xfId="128" applyFont="1" applyFill="1" applyBorder="1" applyAlignment="1" applyProtection="1">
      <alignment horizontal="right" vertical="center"/>
      <protection/>
    </xf>
    <xf numFmtId="0" fontId="25" fillId="144" borderId="11" xfId="128" applyNumberFormat="1" applyFont="1" applyFill="1" applyBorder="1" applyAlignment="1" applyProtection="1">
      <alignment horizontal="center" vertical="center"/>
      <protection locked="0"/>
    </xf>
    <xf numFmtId="0" fontId="24" fillId="0" borderId="21" xfId="128" applyFont="1" applyFill="1" applyBorder="1" applyAlignment="1" applyProtection="1">
      <alignment horizontal="right" vertical="center" indent="1"/>
      <protection locked="0"/>
    </xf>
    <xf numFmtId="0" fontId="21" fillId="237" borderId="75" xfId="128" applyFont="1" applyFill="1" applyBorder="1" applyAlignment="1" applyProtection="1">
      <alignment horizontal="right" vertical="center" indent="1"/>
      <protection/>
    </xf>
    <xf numFmtId="0" fontId="21" fillId="238" borderId="28" xfId="128" applyFont="1" applyFill="1" applyBorder="1" applyAlignment="1" applyProtection="1">
      <alignment horizontal="right" vertical="center" indent="1"/>
      <protection/>
    </xf>
    <xf numFmtId="0" fontId="21" fillId="239" borderId="76" xfId="128" applyFont="1" applyFill="1" applyBorder="1" applyAlignment="1" applyProtection="1">
      <alignment horizontal="right" vertical="center" indent="1"/>
      <protection/>
    </xf>
    <xf numFmtId="164" fontId="24" fillId="240" borderId="46" xfId="0" applyFont="1" applyFill="1" applyBorder="1" applyAlignment="1" applyProtection="1">
      <alignment horizontal="center" vertical="center" wrapText="1"/>
      <protection/>
    </xf>
    <xf numFmtId="164" fontId="24" fillId="241" borderId="52" xfId="0" applyFont="1" applyFill="1" applyBorder="1" applyAlignment="1" applyProtection="1">
      <alignment horizontal="center" vertical="center" wrapText="1"/>
      <protection/>
    </xf>
    <xf numFmtId="0" fontId="24" fillId="242" borderId="24" xfId="0" applyNumberFormat="1" applyFont="1" applyFill="1" applyBorder="1" applyAlignment="1" applyProtection="1">
      <alignment horizontal="center" vertical="center"/>
      <protection/>
    </xf>
    <xf numFmtId="0" fontId="25" fillId="243" borderId="12" xfId="128" applyFont="1" applyFill="1" applyBorder="1" applyAlignment="1" applyProtection="1">
      <alignment horizontal="left" vertical="center" indent="1"/>
      <protection/>
    </xf>
    <xf numFmtId="164" fontId="0" fillId="244" borderId="66" xfId="0" applyFont="1" applyFill="1" applyBorder="1" applyAlignment="1" applyProtection="1">
      <alignment horizontal="left" vertical="center" indent="1"/>
      <protection/>
    </xf>
    <xf numFmtId="164" fontId="0" fillId="245" borderId="19" xfId="0" applyFont="1" applyFill="1" applyBorder="1" applyAlignment="1" applyProtection="1">
      <alignment horizontal="left" vertical="center" indent="1"/>
      <protection/>
    </xf>
    <xf numFmtId="174" fontId="25" fillId="246" borderId="51" xfId="128" applyNumberFormat="1" applyFont="1" applyFill="1" applyBorder="1" applyAlignment="1" applyProtection="1">
      <alignment horizontal="left" vertical="center"/>
      <protection/>
    </xf>
    <xf numFmtId="174" fontId="0" fillId="247" borderId="21" xfId="0" applyNumberFormat="1" applyFill="1" applyBorder="1" applyAlignment="1">
      <alignment vertical="center"/>
    </xf>
    <xf numFmtId="164" fontId="25" fillId="0" borderId="51" xfId="0" applyFont="1" applyFill="1" applyBorder="1" applyAlignment="1" applyProtection="1">
      <alignment horizontal="left" vertical="center" indent="1"/>
      <protection locked="0"/>
    </xf>
    <xf numFmtId="14" fontId="25" fillId="0" borderId="20" xfId="128" applyNumberFormat="1" applyFont="1" applyFill="1" applyBorder="1" applyAlignment="1" applyProtection="1">
      <alignment horizontal="center" vertical="center"/>
      <protection locked="0"/>
    </xf>
    <xf numFmtId="0" fontId="24" fillId="248" borderId="29" xfId="128" applyFont="1" applyFill="1" applyBorder="1" applyAlignment="1" applyProtection="1">
      <alignment horizontal="right" vertical="center" indent="1"/>
      <protection/>
    </xf>
    <xf numFmtId="164" fontId="24" fillId="249" borderId="29" xfId="0" applyFont="1" applyFill="1" applyBorder="1" applyAlignment="1">
      <alignment horizontal="right" vertical="center" indent="1"/>
    </xf>
    <xf numFmtId="0" fontId="24" fillId="250" borderId="44" xfId="0" applyNumberFormat="1" applyFont="1" applyFill="1" applyBorder="1" applyAlignment="1" applyProtection="1">
      <alignment horizontal="center" vertical="center"/>
      <protection/>
    </xf>
    <xf numFmtId="0" fontId="24" fillId="251" borderId="54" xfId="0" applyNumberFormat="1" applyFont="1" applyFill="1" applyBorder="1" applyAlignment="1" applyProtection="1">
      <alignment horizontal="center" vertical="center"/>
      <protection/>
    </xf>
    <xf numFmtId="0" fontId="25" fillId="0" borderId="0" xfId="127" applyNumberFormat="1" applyFont="1" applyAlignment="1" applyProtection="1">
      <alignment horizontal="right" vertical="center" indent="1"/>
      <protection/>
    </xf>
    <xf numFmtId="0" fontId="74" fillId="0" borderId="0" xfId="127" applyFont="1" applyAlignment="1">
      <alignment horizontal="center" vertical="center"/>
      <protection/>
    </xf>
    <xf numFmtId="0" fontId="21" fillId="46" borderId="10" xfId="127" applyFont="1" applyFill="1" applyBorder="1" applyAlignment="1">
      <alignment horizontal="center" vertical="center" wrapText="1"/>
      <protection/>
    </xf>
    <xf numFmtId="180" fontId="25" fillId="0" borderId="0" xfId="127" applyNumberFormat="1" applyFont="1" applyBorder="1" applyAlignment="1">
      <alignment horizontal="right" vertical="center"/>
      <protection/>
    </xf>
    <xf numFmtId="172" fontId="25" fillId="0" borderId="0" xfId="127" applyNumberFormat="1" applyFont="1" applyBorder="1" applyAlignment="1" applyProtection="1">
      <alignment horizontal="right" vertical="center" indent="1"/>
      <protection/>
    </xf>
    <xf numFmtId="167" fontId="74" fillId="0" borderId="0" xfId="127" applyNumberFormat="1" applyFont="1" applyFill="1" applyBorder="1" applyAlignment="1" applyProtection="1">
      <alignment horizontal="center" vertical="center" wrapText="1"/>
      <protection/>
    </xf>
    <xf numFmtId="0" fontId="25" fillId="0" borderId="77" xfId="127" applyNumberFormat="1" applyFont="1" applyBorder="1" applyAlignment="1" applyProtection="1">
      <alignment horizontal="right" vertical="center" indent="1"/>
      <protection/>
    </xf>
    <xf numFmtId="0" fontId="24" fillId="0" borderId="78" xfId="127" applyFont="1" applyFill="1" applyBorder="1" applyAlignment="1" applyProtection="1">
      <alignment horizontal="right" vertical="center" shrinkToFit="1"/>
      <protection/>
    </xf>
    <xf numFmtId="0" fontId="24" fillId="0" borderId="66" xfId="127" applyFont="1" applyFill="1" applyBorder="1" applyAlignment="1" applyProtection="1">
      <alignment horizontal="right" vertical="center" shrinkToFit="1"/>
      <protection/>
    </xf>
    <xf numFmtId="164" fontId="0" fillId="0" borderId="66" xfId="0" applyBorder="1" applyAlignment="1">
      <alignment shrinkToFit="1"/>
    </xf>
    <xf numFmtId="174" fontId="25" fillId="0" borderId="66" xfId="127" applyNumberFormat="1" applyFont="1" applyFill="1" applyBorder="1" applyAlignment="1" applyProtection="1">
      <alignment horizontal="left" vertical="center"/>
      <protection/>
    </xf>
    <xf numFmtId="172" fontId="25" fillId="0" borderId="0" xfId="127" applyNumberFormat="1" applyFont="1" applyFill="1" applyBorder="1" applyAlignment="1" applyProtection="1">
      <alignment vertical="center"/>
      <protection/>
    </xf>
    <xf numFmtId="0" fontId="74" fillId="0" borderId="0" xfId="127" applyFont="1" applyAlignment="1">
      <alignment horizontal="center" vertical="center" wrapText="1"/>
      <protection/>
    </xf>
    <xf numFmtId="174" fontId="25" fillId="0" borderId="79" xfId="127" applyNumberFormat="1" applyFont="1" applyFill="1" applyBorder="1" applyAlignment="1" applyProtection="1">
      <alignment horizontal="left" vertical="center"/>
      <protection/>
    </xf>
    <xf numFmtId="172" fontId="25" fillId="0" borderId="10" xfId="127" applyNumberFormat="1" applyFont="1" applyBorder="1" applyAlignment="1" applyProtection="1">
      <alignment horizontal="right" vertical="center" indent="1"/>
      <protection/>
    </xf>
    <xf numFmtId="172" fontId="25" fillId="0" borderId="14" xfId="127" applyNumberFormat="1" applyFont="1" applyBorder="1" applyAlignment="1" applyProtection="1">
      <alignment horizontal="right" vertical="center" indent="1"/>
      <protection/>
    </xf>
    <xf numFmtId="0" fontId="21" fillId="46" borderId="0" xfId="127" applyFont="1" applyFill="1" applyBorder="1" applyAlignment="1">
      <alignment horizontal="center" vertical="center" wrapText="1"/>
      <protection/>
    </xf>
    <xf numFmtId="0" fontId="24" fillId="0" borderId="80" xfId="127" applyFont="1" applyFill="1" applyBorder="1" applyAlignment="1" applyProtection="1">
      <alignment horizontal="right" vertical="center"/>
      <protection/>
    </xf>
    <xf numFmtId="0" fontId="24" fillId="0" borderId="81" xfId="127" applyFont="1" applyFill="1" applyBorder="1" applyAlignment="1" applyProtection="1">
      <alignment horizontal="right" vertical="center"/>
      <protection/>
    </xf>
    <xf numFmtId="0" fontId="25" fillId="0" borderId="81" xfId="127" applyFont="1" applyFill="1" applyBorder="1" applyAlignment="1" applyProtection="1">
      <alignment horizontal="left" vertical="center"/>
      <protection/>
    </xf>
    <xf numFmtId="0" fontId="25" fillId="0" borderId="82" xfId="127" applyFont="1" applyFill="1" applyBorder="1" applyAlignment="1" applyProtection="1">
      <alignment horizontal="left" vertical="center"/>
      <protection/>
    </xf>
    <xf numFmtId="0" fontId="19" fillId="46" borderId="10" xfId="127" applyFont="1" applyFill="1" applyBorder="1" applyAlignment="1">
      <alignment horizontal="center" vertical="center"/>
      <protection/>
    </xf>
    <xf numFmtId="0" fontId="30" fillId="0" borderId="73" xfId="127" applyFont="1" applyFill="1" applyBorder="1" applyAlignment="1" applyProtection="1">
      <alignment horizontal="center" vertical="center"/>
      <protection/>
    </xf>
    <xf numFmtId="0" fontId="30" fillId="0" borderId="38" xfId="127" applyFont="1" applyFill="1" applyBorder="1" applyAlignment="1" applyProtection="1">
      <alignment horizontal="center" vertical="center"/>
      <protection/>
    </xf>
    <xf numFmtId="0" fontId="30" fillId="0" borderId="42" xfId="127" applyFont="1" applyFill="1" applyBorder="1" applyAlignment="1" applyProtection="1">
      <alignment horizontal="center" vertical="center"/>
      <protection/>
    </xf>
    <xf numFmtId="0" fontId="30" fillId="0" borderId="43" xfId="127" applyFont="1" applyFill="1" applyBorder="1" applyAlignment="1" applyProtection="1">
      <alignment horizontal="center" vertical="center"/>
      <protection/>
    </xf>
    <xf numFmtId="0" fontId="24" fillId="0" borderId="83" xfId="127" applyFont="1" applyFill="1" applyBorder="1" applyAlignment="1" applyProtection="1">
      <alignment horizontal="right" vertical="center"/>
      <protection/>
    </xf>
    <xf numFmtId="0" fontId="24" fillId="0" borderId="16" xfId="127" applyFont="1" applyFill="1" applyBorder="1" applyAlignment="1" applyProtection="1">
      <alignment horizontal="right" vertical="center"/>
      <protection/>
    </xf>
    <xf numFmtId="164" fontId="24" fillId="0" borderId="0" xfId="136" applyFont="1" applyAlignment="1">
      <alignment horizontal="left" vertical="top" wrapText="1"/>
      <protection/>
    </xf>
    <xf numFmtId="0" fontId="11" fillId="252" borderId="50" xfId="142" applyFont="1" applyFill="1" applyBorder="1" applyAlignment="1" applyProtection="1">
      <alignment horizontal="right"/>
      <protection/>
    </xf>
    <xf numFmtId="0" fontId="11" fillId="253" borderId="27" xfId="142" applyFont="1" applyFill="1" applyBorder="1" applyAlignment="1" applyProtection="1">
      <alignment horizontal="right"/>
      <protection/>
    </xf>
    <xf numFmtId="164" fontId="24" fillId="0" borderId="0" xfId="0" applyFont="1" applyAlignment="1" applyProtection="1">
      <alignment horizontal="left" vertical="center" wrapText="1"/>
      <protection/>
    </xf>
    <xf numFmtId="0" fontId="24" fillId="254" borderId="20" xfId="142" applyFont="1" applyFill="1" applyBorder="1" applyAlignment="1" applyProtection="1">
      <alignment horizontal="center"/>
      <protection/>
    </xf>
    <xf numFmtId="0" fontId="28" fillId="0" borderId="0" xfId="142" applyFont="1" applyAlignment="1" applyProtection="1">
      <alignment horizontal="left" vertical="center" wrapText="1" indent="1"/>
      <protection/>
    </xf>
    <xf numFmtId="0" fontId="24" fillId="255" borderId="38" xfId="142" applyFont="1" applyFill="1" applyBorder="1" applyAlignment="1" applyProtection="1">
      <alignment horizontal="right"/>
      <protection/>
    </xf>
    <xf numFmtId="0" fontId="24" fillId="256" borderId="42" xfId="142" applyFont="1" applyFill="1" applyBorder="1" applyAlignment="1" applyProtection="1">
      <alignment horizontal="right"/>
      <protection/>
    </xf>
    <xf numFmtId="0" fontId="11" fillId="257" borderId="12" xfId="142" applyFont="1" applyFill="1" applyBorder="1" applyAlignment="1" applyProtection="1">
      <alignment horizontal="right"/>
      <protection/>
    </xf>
    <xf numFmtId="0" fontId="11" fillId="258" borderId="66" xfId="142" applyFont="1" applyFill="1" applyBorder="1" applyAlignment="1" applyProtection="1">
      <alignment horizontal="right"/>
      <protection/>
    </xf>
    <xf numFmtId="0" fontId="24" fillId="259" borderId="11" xfId="142" applyFont="1" applyFill="1" applyBorder="1" applyAlignment="1" applyProtection="1">
      <alignment horizontal="center"/>
      <protection/>
    </xf>
    <xf numFmtId="0" fontId="11" fillId="260" borderId="45" xfId="142" applyFont="1" applyFill="1" applyBorder="1" applyAlignment="1" applyProtection="1">
      <alignment horizontal="right"/>
      <protection/>
    </xf>
    <xf numFmtId="0" fontId="11" fillId="261" borderId="51" xfId="142" applyFont="1" applyFill="1" applyBorder="1" applyAlignment="1" applyProtection="1">
      <alignment horizontal="right"/>
      <protection/>
    </xf>
    <xf numFmtId="0" fontId="24" fillId="262" borderId="45" xfId="130" applyFont="1" applyFill="1" applyBorder="1" applyAlignment="1">
      <alignment horizontal="center" vertical="center"/>
      <protection/>
    </xf>
    <xf numFmtId="0" fontId="24" fillId="263" borderId="51" xfId="130" applyFont="1" applyFill="1" applyBorder="1" applyAlignment="1">
      <alignment horizontal="center" vertical="center"/>
      <protection/>
    </xf>
    <xf numFmtId="0" fontId="21" fillId="0" borderId="20" xfId="132" applyFont="1" applyFill="1" applyBorder="1" applyAlignment="1" applyProtection="1">
      <alignment horizontal="left" vertical="top" wrapText="1" indent="1"/>
      <protection/>
    </xf>
    <xf numFmtId="0" fontId="21" fillId="0" borderId="20" xfId="135" applyFont="1" applyFill="1" applyBorder="1" applyAlignment="1" applyProtection="1">
      <alignment horizontal="left" vertical="top" wrapText="1" indent="1"/>
      <protection/>
    </xf>
    <xf numFmtId="0" fontId="48" fillId="112" borderId="45" xfId="133" applyFont="1" applyFill="1" applyBorder="1" applyAlignment="1" applyProtection="1">
      <alignment horizontal="center"/>
      <protection/>
    </xf>
    <xf numFmtId="0" fontId="48" fillId="112" borderId="51" xfId="133" applyFont="1" applyFill="1" applyBorder="1" applyAlignment="1" applyProtection="1">
      <alignment horizontal="center"/>
      <protection/>
    </xf>
    <xf numFmtId="0" fontId="48" fillId="112" borderId="21" xfId="133" applyFont="1" applyFill="1" applyBorder="1" applyAlignment="1" applyProtection="1">
      <alignment horizontal="center"/>
      <protection/>
    </xf>
    <xf numFmtId="0" fontId="48" fillId="80" borderId="45" xfId="133" applyFont="1" applyFill="1" applyBorder="1" applyAlignment="1" applyProtection="1">
      <alignment horizontal="center"/>
      <protection/>
    </xf>
    <xf numFmtId="0" fontId="48" fillId="80" borderId="51" xfId="133" applyFont="1" applyFill="1" applyBorder="1" applyAlignment="1" applyProtection="1">
      <alignment horizontal="center"/>
      <protection/>
    </xf>
    <xf numFmtId="0" fontId="48" fillId="80" borderId="21" xfId="133" applyFont="1" applyFill="1" applyBorder="1" applyAlignment="1" applyProtection="1">
      <alignment horizontal="center"/>
      <protection/>
    </xf>
    <xf numFmtId="0" fontId="21" fillId="264" borderId="48" xfId="130" applyFont="1" applyFill="1" applyBorder="1" applyAlignment="1">
      <alignment horizontal="center"/>
      <protection/>
    </xf>
    <xf numFmtId="0" fontId="21" fillId="265" borderId="40" xfId="130" applyFont="1" applyFill="1" applyBorder="1" applyAlignment="1">
      <alignment horizontal="center"/>
      <protection/>
    </xf>
    <xf numFmtId="0" fontId="24" fillId="266" borderId="12" xfId="130" applyFont="1" applyFill="1" applyBorder="1" applyAlignment="1">
      <alignment horizontal="center" vertical="center"/>
      <protection/>
    </xf>
    <xf numFmtId="0" fontId="24" fillId="267" borderId="66" xfId="130" applyFont="1" applyFill="1" applyBorder="1" applyAlignment="1">
      <alignment horizontal="center" vertical="center"/>
      <protection/>
    </xf>
    <xf numFmtId="0" fontId="21" fillId="112" borderId="51" xfId="124" applyFont="1" applyFill="1" applyBorder="1" applyAlignment="1">
      <alignment horizontal="left"/>
      <protection/>
    </xf>
    <xf numFmtId="0" fontId="21" fillId="112" borderId="21" xfId="124" applyFont="1" applyFill="1" applyBorder="1" applyAlignment="1">
      <alignment horizontal="left"/>
      <protection/>
    </xf>
    <xf numFmtId="0" fontId="21" fillId="80" borderId="45" xfId="127" applyFont="1" applyFill="1" applyBorder="1" applyAlignment="1" quotePrefix="1">
      <alignment horizontal="right" vertical="center"/>
      <protection/>
    </xf>
    <xf numFmtId="0" fontId="21" fillId="80" borderId="51" xfId="127" applyFont="1" applyFill="1" applyBorder="1" applyAlignment="1" quotePrefix="1">
      <alignment horizontal="right" vertical="center"/>
      <protection/>
    </xf>
    <xf numFmtId="0" fontId="21" fillId="80" borderId="45" xfId="124" applyFont="1" applyFill="1" applyBorder="1" applyAlignment="1">
      <alignment horizontal="center" vertical="center"/>
      <protection/>
    </xf>
    <xf numFmtId="0" fontId="21" fillId="80" borderId="51" xfId="124" applyFont="1" applyFill="1" applyBorder="1" applyAlignment="1">
      <alignment horizontal="center" vertical="center"/>
      <protection/>
    </xf>
    <xf numFmtId="0" fontId="21" fillId="112" borderId="45" xfId="127" applyFont="1" applyFill="1" applyBorder="1" applyAlignment="1" quotePrefix="1">
      <alignment horizontal="right" vertical="center"/>
      <protection/>
    </xf>
    <xf numFmtId="0" fontId="21" fillId="112" borderId="51" xfId="127" applyFont="1" applyFill="1" applyBorder="1" applyAlignment="1" quotePrefix="1">
      <alignment horizontal="right" vertical="center"/>
      <protection/>
    </xf>
    <xf numFmtId="0" fontId="48" fillId="112" borderId="50" xfId="133" applyFont="1" applyFill="1" applyBorder="1" applyAlignment="1" applyProtection="1">
      <alignment horizontal="center"/>
      <protection/>
    </xf>
    <xf numFmtId="0" fontId="48" fillId="112" borderId="27" xfId="133" applyFont="1" applyFill="1" applyBorder="1" applyAlignment="1" applyProtection="1">
      <alignment horizontal="center"/>
      <protection/>
    </xf>
    <xf numFmtId="0" fontId="48" fillId="112" borderId="55" xfId="133" applyFont="1" applyFill="1" applyBorder="1" applyAlignment="1" applyProtection="1">
      <alignment horizontal="center"/>
      <protection/>
    </xf>
    <xf numFmtId="0" fontId="21" fillId="112" borderId="50" xfId="127" applyFont="1" applyFill="1" applyBorder="1" applyAlignment="1" quotePrefix="1">
      <alignment horizontal="right" vertical="center"/>
      <protection/>
    </xf>
    <xf numFmtId="0" fontId="21" fillId="112" borderId="27" xfId="127" applyFont="1" applyFill="1" applyBorder="1" applyAlignment="1" quotePrefix="1">
      <alignment horizontal="right" vertical="center"/>
      <protection/>
    </xf>
    <xf numFmtId="0" fontId="21" fillId="112" borderId="27" xfId="124" applyFont="1" applyFill="1" applyBorder="1" applyAlignment="1">
      <alignment horizontal="left"/>
      <protection/>
    </xf>
    <xf numFmtId="0" fontId="21" fillId="23" borderId="20" xfId="132" applyFont="1" applyFill="1" applyBorder="1" applyAlignment="1" applyProtection="1">
      <alignment horizontal="left" vertical="top" wrapText="1" indent="1"/>
      <protection/>
    </xf>
    <xf numFmtId="0" fontId="21" fillId="23" borderId="20" xfId="135" applyFont="1" applyFill="1" applyBorder="1" applyAlignment="1" applyProtection="1">
      <alignment horizontal="left" vertical="top" wrapText="1" indent="1"/>
      <protection/>
    </xf>
    <xf numFmtId="0" fontId="48" fillId="80" borderId="75" xfId="133" applyFont="1" applyFill="1" applyBorder="1" applyAlignment="1" applyProtection="1">
      <alignment horizontal="center"/>
      <protection/>
    </xf>
    <xf numFmtId="0" fontId="48" fillId="80" borderId="28" xfId="133" applyFont="1" applyFill="1" applyBorder="1" applyAlignment="1" applyProtection="1">
      <alignment horizontal="center"/>
      <protection/>
    </xf>
    <xf numFmtId="0" fontId="48" fillId="80" borderId="76" xfId="133" applyFont="1" applyFill="1" applyBorder="1" applyAlignment="1" applyProtection="1">
      <alignment horizontal="center"/>
      <protection/>
    </xf>
    <xf numFmtId="0" fontId="21" fillId="80" borderId="44" xfId="124" applyFont="1" applyFill="1" applyBorder="1" applyAlignment="1">
      <alignment horizontal="center" vertical="center"/>
      <protection/>
    </xf>
    <xf numFmtId="0" fontId="21" fillId="80" borderId="53" xfId="124" applyFont="1" applyFill="1" applyBorder="1" applyAlignment="1">
      <alignment horizontal="center" vertical="center"/>
      <protection/>
    </xf>
    <xf numFmtId="0" fontId="21" fillId="0" borderId="0" xfId="133" applyFont="1" applyAlignment="1" applyProtection="1">
      <alignment vertical="top" wrapText="1"/>
      <protection/>
    </xf>
    <xf numFmtId="0" fontId="21" fillId="79" borderId="44" xfId="132" applyFont="1" applyFill="1" applyBorder="1" applyAlignment="1" applyProtection="1">
      <alignment horizontal="left" vertical="center" wrapText="1" indent="1"/>
      <protection/>
    </xf>
    <xf numFmtId="0" fontId="21" fillId="79" borderId="53" xfId="132" applyFont="1" applyFill="1" applyBorder="1" applyAlignment="1" applyProtection="1">
      <alignment horizontal="left" vertical="center" wrapText="1" indent="1"/>
      <protection/>
    </xf>
    <xf numFmtId="0" fontId="21" fillId="79" borderId="54" xfId="132" applyFont="1" applyFill="1" applyBorder="1" applyAlignment="1" applyProtection="1">
      <alignment horizontal="left" vertical="center" wrapText="1" indent="1"/>
      <protection/>
    </xf>
    <xf numFmtId="0" fontId="21" fillId="79" borderId="44" xfId="135" applyFont="1" applyFill="1" applyBorder="1" applyAlignment="1" applyProtection="1">
      <alignment horizontal="left" vertical="center" wrapText="1" indent="1"/>
      <protection/>
    </xf>
    <xf numFmtId="0" fontId="21" fillId="79" borderId="53" xfId="135" applyFont="1" applyFill="1" applyBorder="1" applyAlignment="1" applyProtection="1">
      <alignment horizontal="left" vertical="center" wrapText="1" indent="1"/>
      <protection/>
    </xf>
    <xf numFmtId="0" fontId="21" fillId="79" borderId="54" xfId="135" applyFont="1" applyFill="1" applyBorder="1" applyAlignment="1" applyProtection="1">
      <alignment horizontal="left" vertical="center" wrapText="1" indent="1"/>
      <protection/>
    </xf>
    <xf numFmtId="14" fontId="25" fillId="0" borderId="8" xfId="134" applyNumberFormat="1" applyFont="1" applyFill="1" applyBorder="1" applyAlignment="1" applyProtection="1">
      <alignment horizontal="left" vertical="center" indent="1"/>
      <protection/>
    </xf>
    <xf numFmtId="0" fontId="20" fillId="268" borderId="0" xfId="137" applyFont="1" applyFill="1" applyBorder="1" applyAlignment="1">
      <alignment horizontal="center" vertical="center" wrapText="1"/>
      <protection/>
    </xf>
  </cellXfs>
  <cellStyles count="15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20% - Accent6 2" xfId="25"/>
    <cellStyle name="40% - Accent1" xfId="26"/>
    <cellStyle name="40% - Accent1 2" xfId="27"/>
    <cellStyle name="40% - Accent2" xfId="28"/>
    <cellStyle name="40% - Accent3" xfId="29"/>
    <cellStyle name="40% - Accent3 2" xfId="30"/>
    <cellStyle name="40% - Accent4" xfId="31"/>
    <cellStyle name="40% - Accent4 2" xfId="32"/>
    <cellStyle name="40% - Accent5" xfId="33"/>
    <cellStyle name="40% - Accent5 2" xfId="34"/>
    <cellStyle name="40% - Accent6" xfId="35"/>
    <cellStyle name="40% - Accent6 2" xfId="36"/>
    <cellStyle name="60% - Accent1" xfId="37"/>
    <cellStyle name="60% - Accent2" xfId="38"/>
    <cellStyle name="60% - Accent3" xfId="39"/>
    <cellStyle name="60% - Accent4" xfId="40"/>
    <cellStyle name="60% - Accent5" xfId="41"/>
    <cellStyle name="60% - Accent6" xfId="42"/>
    <cellStyle name="Accent1" xfId="43"/>
    <cellStyle name="Accent1 2" xfId="44"/>
    <cellStyle name="Accent2" xfId="45"/>
    <cellStyle name="Accent2 2" xfId="46"/>
    <cellStyle name="Accent3" xfId="47"/>
    <cellStyle name="Accent3 2" xfId="48"/>
    <cellStyle name="Accent4" xfId="49"/>
    <cellStyle name="Accent4 2" xfId="50"/>
    <cellStyle name="Accent5" xfId="51"/>
    <cellStyle name="Accent6" xfId="52"/>
    <cellStyle name="Accent6 2" xfId="53"/>
    <cellStyle name="Bad" xfId="54"/>
    <cellStyle name="Calculation" xfId="55"/>
    <cellStyle name="Check Cell" xfId="56"/>
    <cellStyle name="Comma" xfId="57"/>
    <cellStyle name="Comma [0]" xfId="58"/>
    <cellStyle name="Comma0" xfId="59"/>
    <cellStyle name="Comma0 2" xfId="60"/>
    <cellStyle name="Comma0 2 2" xfId="61"/>
    <cellStyle name="Comma0 3" xfId="62"/>
    <cellStyle name="Comma0 3 2" xfId="63"/>
    <cellStyle name="Comma0 4" xfId="64"/>
    <cellStyle name="Comma0 5" xfId="65"/>
    <cellStyle name="Comma0 6" xfId="66"/>
    <cellStyle name="Currency" xfId="67"/>
    <cellStyle name="Currency [0]" xfId="68"/>
    <cellStyle name="Currency0" xfId="69"/>
    <cellStyle name="Currency0 2" xfId="70"/>
    <cellStyle name="Currency0 2 2" xfId="71"/>
    <cellStyle name="Currency0 3" xfId="72"/>
    <cellStyle name="Currency0 3 2" xfId="73"/>
    <cellStyle name="Currency0 4" xfId="74"/>
    <cellStyle name="Currency0 5" xfId="75"/>
    <cellStyle name="Currency0 6" xfId="76"/>
    <cellStyle name="Date" xfId="77"/>
    <cellStyle name="Date 2" xfId="78"/>
    <cellStyle name="Date 2 2" xfId="79"/>
    <cellStyle name="Date 3" xfId="80"/>
    <cellStyle name="Date 3 2" xfId="81"/>
    <cellStyle name="Date 4" xfId="82"/>
    <cellStyle name="Date 5" xfId="83"/>
    <cellStyle name="Date 6" xfId="84"/>
    <cellStyle name="Explanatory Text" xfId="85"/>
    <cellStyle name="Fixed" xfId="86"/>
    <cellStyle name="Fixed 2" xfId="87"/>
    <cellStyle name="Fixed 2 2" xfId="88"/>
    <cellStyle name="Fixed 3" xfId="89"/>
    <cellStyle name="Fixed 3 2" xfId="90"/>
    <cellStyle name="Fixed 4" xfId="91"/>
    <cellStyle name="Fixed 5" xfId="92"/>
    <cellStyle name="Fixed 6" xfId="93"/>
    <cellStyle name="Good" xfId="94"/>
    <cellStyle name="Heading 1" xfId="95"/>
    <cellStyle name="Heading 1 2" xfId="96"/>
    <cellStyle name="Heading 2" xfId="97"/>
    <cellStyle name="Heading 2 2" xfId="98"/>
    <cellStyle name="Heading 3" xfId="99"/>
    <cellStyle name="Heading 4" xfId="100"/>
    <cellStyle name="Hyperlink" xfId="101"/>
    <cellStyle name="Hyperlink 2" xfId="102"/>
    <cellStyle name="Hyperlink 2 2" xfId="103"/>
    <cellStyle name="Hyperlink 2 3" xfId="104"/>
    <cellStyle name="Input" xfId="105"/>
    <cellStyle name="Linked Cell" xfId="106"/>
    <cellStyle name="Neutral" xfId="107"/>
    <cellStyle name="Normal 2" xfId="108"/>
    <cellStyle name="Normal 2 2" xfId="109"/>
    <cellStyle name="Normal 2 2 2" xfId="110"/>
    <cellStyle name="Normal 2 2 3" xfId="111"/>
    <cellStyle name="Normal 2 2 4" xfId="112"/>
    <cellStyle name="Normal 2 3" xfId="113"/>
    <cellStyle name="Normal 2 3 2" xfId="114"/>
    <cellStyle name="Normal 2 4" xfId="115"/>
    <cellStyle name="Normal 2 5" xfId="116"/>
    <cellStyle name="Normal 3" xfId="117"/>
    <cellStyle name="Normal 3 2" xfId="118"/>
    <cellStyle name="Normal 4" xfId="119"/>
    <cellStyle name="Normal 4 2" xfId="120"/>
    <cellStyle name="Normal 4 3" xfId="121"/>
    <cellStyle name="Normal 5" xfId="122"/>
    <cellStyle name="Normal 6" xfId="123"/>
    <cellStyle name="Normal 7" xfId="124"/>
    <cellStyle name="Normal 7 2" xfId="125"/>
    <cellStyle name="Normal 8" xfId="126"/>
    <cellStyle name="Normal_Calculations" xfId="127"/>
    <cellStyle name="Normal_Data Entry Sheet" xfId="128"/>
    <cellStyle name="Normal_Data Entry Sheet 2" xfId="129"/>
    <cellStyle name="Normal_GravCal" xfId="130"/>
    <cellStyle name="Normal_GravCal 2" xfId="131"/>
    <cellStyle name="Normal_GravCal 2 2" xfId="132"/>
    <cellStyle name="Normal_Gravimetric Uncertainty Analysis" xfId="133"/>
    <cellStyle name="Normal_Gravimetric Uncertainty Analysis 2" xfId="134"/>
    <cellStyle name="Normal_Gravimetric Uncertainty Analysis 2 2" xfId="135"/>
    <cellStyle name="Normal_NIST HB 145, SOP 21 - LPG Provers1" xfId="136"/>
    <cellStyle name="Normal_UncRounding_GH" xfId="137"/>
    <cellStyle name="Normal_WA Blank Mass Control Chart" xfId="138"/>
    <cellStyle name="Normal_WAMRF-005 (draft-6), Volume Gravimetric" xfId="139"/>
    <cellStyle name="Normal_WAMRF-006 (Rev. 11), Modified Substitution" xfId="140"/>
    <cellStyle name="Normal_WAMRF-013 (Rev. 17), Volume Transfer, Prover" xfId="141"/>
    <cellStyle name="Normal_Water Compressibility Factor" xfId="142"/>
    <cellStyle name="Note" xfId="143"/>
    <cellStyle name="Note 2" xfId="144"/>
    <cellStyle name="Note 2 2" xfId="145"/>
    <cellStyle name="Note 2 2 2" xfId="146"/>
    <cellStyle name="Note 2 3" xfId="147"/>
    <cellStyle name="Note 2 3 2" xfId="148"/>
    <cellStyle name="Note 2 4" xfId="149"/>
    <cellStyle name="Output" xfId="150"/>
    <cellStyle name="Percent" xfId="151"/>
    <cellStyle name="Percent 2" xfId="152"/>
    <cellStyle name="Percent 2 2" xfId="153"/>
    <cellStyle name="Percent 2 2 2" xfId="154"/>
    <cellStyle name="Percent 2 3" xfId="155"/>
    <cellStyle name="Percent 2 3 2" xfId="156"/>
    <cellStyle name="Percent 2 4" xfId="157"/>
    <cellStyle name="Percent 2 5" xfId="158"/>
    <cellStyle name="Percent 3" xfId="159"/>
    <cellStyle name="Percent 4" xfId="160"/>
    <cellStyle name="Title" xfId="161"/>
    <cellStyle name="Total" xfId="162"/>
    <cellStyle name="Total 2" xfId="163"/>
    <cellStyle name="Total 2 2" xfId="164"/>
    <cellStyle name="Total 3" xfId="165"/>
    <cellStyle name="Total 3 2" xfId="166"/>
    <cellStyle name="Total 4" xfId="167"/>
    <cellStyle name="Total 4 2" xfId="168"/>
    <cellStyle name="Total 5" xfId="169"/>
    <cellStyle name="Total 6" xfId="170"/>
    <cellStyle name="Warning Text" xfId="171"/>
  </cellStyles>
  <dxfs count="41">
    <dxf>
      <font>
        <b val="0"/>
        <i/>
      </font>
      <fill>
        <patternFill>
          <bgColor rgb="FF92D050"/>
        </patternFill>
      </fill>
    </dxf>
    <dxf>
      <font>
        <b val="0"/>
        <i/>
      </font>
      <fill>
        <patternFill>
          <bgColor rgb="FFFF0000"/>
        </patternFill>
      </fill>
    </dxf>
    <dxf>
      <font>
        <b val="0"/>
        <i/>
      </font>
      <fill>
        <patternFill>
          <bgColor rgb="FF92D050"/>
        </patternFill>
      </fill>
    </dxf>
    <dxf>
      <font>
        <b val="0"/>
        <i/>
      </font>
      <fill>
        <patternFill>
          <bgColor rgb="FFFF0000"/>
        </patternFill>
      </fill>
    </dxf>
    <dxf>
      <font>
        <b val="0"/>
        <i/>
      </font>
      <fill>
        <patternFill>
          <bgColor rgb="FF92D050"/>
        </patternFill>
      </fill>
    </dxf>
    <dxf>
      <font>
        <b val="0"/>
        <i/>
      </font>
      <fill>
        <patternFill>
          <bgColor rgb="FFFF0000"/>
        </patternFill>
      </fill>
    </dxf>
    <dxf>
      <font>
        <b val="0"/>
        <i/>
      </font>
      <fill>
        <patternFill>
          <bgColor rgb="FF92D050"/>
        </patternFill>
      </fill>
    </dxf>
    <dxf>
      <font>
        <b val="0"/>
        <i/>
      </font>
      <fill>
        <patternFill>
          <bgColor rgb="FFFF0000"/>
        </patternFill>
      </fill>
    </dxf>
    <dxf>
      <font>
        <b val="0"/>
        <i/>
      </font>
      <fill>
        <patternFill>
          <bgColor rgb="FF92D050"/>
        </patternFill>
      </fill>
    </dxf>
    <dxf>
      <font>
        <b val="0"/>
        <i/>
      </font>
    </dxf>
    <dxf>
      <fill>
        <patternFill>
          <bgColor rgb="FFFFFF99"/>
        </patternFill>
      </fill>
    </dxf>
    <dxf>
      <fill>
        <patternFill>
          <bgColor theme="8" tint="0.5999600291252136"/>
        </patternFill>
      </fill>
    </dxf>
    <dxf>
      <fill>
        <patternFill>
          <bgColor theme="8" tint="0.5999600291252136"/>
        </patternFill>
      </fill>
    </dxf>
    <dxf>
      <fill>
        <patternFill>
          <bgColor rgb="FFFFFF99"/>
        </patternFill>
      </fill>
    </dxf>
    <dxf>
      <fill>
        <patternFill>
          <bgColor rgb="FFFFFF99"/>
        </patternFill>
      </fill>
    </dxf>
    <dxf>
      <fill>
        <patternFill>
          <bgColor theme="8" tint="0.5999600291252136"/>
        </patternFill>
      </fill>
    </dxf>
    <dxf>
      <fill>
        <patternFill>
          <bgColor rgb="FFFFFF99"/>
        </patternFill>
      </fill>
    </dxf>
    <dxf>
      <fill>
        <patternFill>
          <bgColor theme="8" tint="0.5999600291252136"/>
        </patternFill>
      </fill>
    </dxf>
    <dxf>
      <fill>
        <patternFill>
          <bgColor theme="8" tint="0.5999600291252136"/>
        </patternFill>
      </fill>
    </dxf>
    <dxf>
      <fill>
        <patternFill>
          <bgColor rgb="FFFFFF99"/>
        </patternFill>
      </fill>
    </dxf>
    <dxf>
      <fill>
        <patternFill>
          <bgColor rgb="FFFFFF99"/>
        </patternFill>
      </fill>
    </dxf>
    <dxf>
      <fill>
        <patternFill>
          <bgColor theme="8" tint="0.5999600291252136"/>
        </patternFill>
      </fill>
    </dxf>
    <dxf>
      <fill>
        <patternFill>
          <bgColor rgb="FFFFFF99"/>
        </patternFill>
      </fill>
    </dxf>
    <dxf>
      <fill>
        <patternFill>
          <bgColor theme="8" tint="0.5999600291252136"/>
        </patternFill>
      </fill>
    </dxf>
    <dxf>
      <fill>
        <patternFill>
          <bgColor theme="8" tint="0.5999600291252136"/>
        </patternFill>
      </fill>
    </dxf>
    <dxf>
      <font>
        <color rgb="FFFF0000"/>
      </font>
      <fill>
        <patternFill>
          <bgColor theme="5" tint="0.5999600291252136"/>
        </patternFill>
      </fill>
    </dxf>
    <dxf>
      <fill>
        <patternFill>
          <bgColor rgb="FFFFFF99"/>
        </patternFill>
      </fill>
    </dxf>
    <dxf>
      <fill>
        <patternFill>
          <bgColor theme="8" tint="0.5999600291252136"/>
        </patternFill>
      </fill>
    </dxf>
    <dxf>
      <font>
        <color rgb="FFFF0000"/>
      </font>
      <fill>
        <patternFill>
          <bgColor theme="5" tint="0.5999600291252136"/>
        </patternFill>
      </fill>
    </dxf>
    <dxf>
      <fill>
        <patternFill>
          <bgColor rgb="FFFFFF99"/>
        </patternFill>
      </fill>
    </dxf>
    <dxf>
      <fill>
        <patternFill>
          <bgColor theme="8" tint="0.5999600291252136"/>
        </patternFill>
      </fill>
    </dxf>
    <dxf>
      <fill>
        <patternFill>
          <bgColor rgb="FFFFFF99"/>
        </patternFill>
      </fill>
    </dxf>
    <dxf>
      <font>
        <color rgb="FFFF0000"/>
      </font>
      <fill>
        <patternFill patternType="none">
          <bgColor indexed="65"/>
        </patternFill>
      </fill>
    </dxf>
    <dxf>
      <font>
        <b val="0"/>
        <i val="0"/>
        <name val="Cambria"/>
        <color rgb="FFFF0000"/>
      </font>
    </dxf>
    <dxf>
      <font>
        <b val="0"/>
        <i val="0"/>
        <name val="Cambria"/>
        <color rgb="FFFF0000"/>
      </font>
    </dxf>
    <dxf>
      <font>
        <b val="0"/>
        <i val="0"/>
        <color rgb="FFFF0000"/>
      </font>
      <border/>
    </dxf>
    <dxf>
      <font>
        <color rgb="FFFF0000"/>
      </font>
      <fill>
        <patternFill patternType="none">
          <bgColor indexed="65"/>
        </patternFill>
      </fill>
      <border/>
    </dxf>
    <dxf>
      <font>
        <color rgb="FFFF0000"/>
      </font>
      <fill>
        <patternFill>
          <bgColor theme="5" tint="0.5999600291252136"/>
        </patternFill>
      </fill>
      <border/>
    </dxf>
    <dxf>
      <font>
        <b val="0"/>
        <i/>
      </font>
      <fill>
        <patternFill>
          <bgColor rgb="FF92D050"/>
        </patternFill>
      </fill>
      <border/>
    </dxf>
    <dxf>
      <font>
        <b val="0"/>
        <i/>
      </font>
      <fill>
        <patternFill>
          <bgColor rgb="FFFF0000"/>
        </patternFill>
      </fill>
      <border/>
    </dxf>
    <dxf>
      <font>
        <b val="0"/>
        <i/>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1875"/>
          <c:w val="0.948"/>
          <c:h val="0.9075"/>
        </c:manualLayout>
      </c:layout>
      <c:lineChart>
        <c:grouping val="standard"/>
        <c:varyColors val="0"/>
        <c:ser>
          <c:idx val="1"/>
          <c:order val="0"/>
          <c:tx>
            <c:strRef>
              <c:f>'Pressure Corrections'!$C$20</c:f>
              <c:strCache>
                <c:ptCount val="1"/>
                <c:pt idx="0">
                  <c:v>Pressure Correction (Pcorr) 
(in³)</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'Pressure Corrections'!$A$21:$A$41</c:f>
              <c:numCache>
                <c:ptCount val="21"/>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cat>
          <c:val>
            <c:numRef>
              <c:f>'Pressure Corrections'!$C$21:$C$41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marker val="1"/>
        <c:axId val="19195178"/>
        <c:axId val="38538875"/>
      </c:lineChart>
      <c:catAx>
        <c:axId val="19195178"/>
        <c:scaling>
          <c:orientation val="minMax"/>
        </c:scaling>
        <c:axPos val="b"/>
        <c:title>
          <c:tx>
            <c:rich>
              <a:bodyPr vert="horz" rot="0" anchor="ctr"/>
              <a:lstStyle/>
              <a:p>
                <a:pPr algn="ctr">
                  <a:defRPr/>
                </a:pPr>
                <a:r>
                  <a:rPr lang="en-US" cap="none" sz="1050" b="0" i="0" u="none" baseline="0">
                    <a:solidFill>
                      <a:srgbClr val="000000"/>
                    </a:solidFill>
                  </a:rPr>
                  <a:t>Pressure (psig)</a:t>
                </a:r>
              </a:p>
            </c:rich>
          </c:tx>
          <c:layout>
            <c:manualLayout>
              <c:xMode val="factor"/>
              <c:yMode val="factor"/>
              <c:x val="-0.00225"/>
              <c:y val="0.00025"/>
            </c:manualLayout>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50" b="0" i="0" u="none" baseline="0">
                <a:solidFill>
                  <a:srgbClr val="000000"/>
                </a:solidFill>
              </a:defRPr>
            </a:pPr>
          </a:p>
        </c:txPr>
        <c:crossAx val="38538875"/>
        <c:crosses val="autoZero"/>
        <c:auto val="1"/>
        <c:lblOffset val="100"/>
        <c:tickLblSkip val="1"/>
        <c:noMultiLvlLbl val="0"/>
      </c:catAx>
      <c:valAx>
        <c:axId val="38538875"/>
        <c:scaling>
          <c:orientation val="minMax"/>
        </c:scaling>
        <c:axPos val="l"/>
        <c:title>
          <c:tx>
            <c:strRef>
              <c:f>'Report Pages 4-5'!$E$31</c:f>
            </c:strRef>
          </c:tx>
          <c:layout>
            <c:manualLayout>
              <c:xMode val="factor"/>
              <c:yMode val="factor"/>
              <c:x val="-0.00275"/>
              <c:y val="-0.0065"/>
            </c:manualLayout>
          </c:layout>
          <c:overlay val="0"/>
          <c:spPr>
            <a:noFill/>
            <a:ln w="3175">
              <a:noFill/>
            </a:ln>
          </c:spPr>
          <c:txPr>
            <a:bodyPr vert="horz" rot="-5400000"/>
            <a:lstStyle/>
            <a:p>
              <a:pPr>
                <a:defRPr lang="en-US" cap="none" sz="1050" b="0" i="0" u="none" baseline="0">
                  <a:solidFill>
                    <a:srgbClr val="000000"/>
                  </a:solidFill>
                </a:defRPr>
              </a:pPr>
            </a:p>
          </c:tx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050" b="0" i="0" u="none" baseline="0">
                <a:solidFill>
                  <a:srgbClr val="000000"/>
                </a:solidFill>
              </a:defRPr>
            </a:pPr>
          </a:p>
        </c:txPr>
        <c:crossAx val="19195178"/>
        <c:crossesAt val="1"/>
        <c:crossBetween val="between"/>
        <c:dispUnits/>
      </c:valAx>
      <c:spPr>
        <a:solidFill>
          <a:srgbClr val="EAEAEA"/>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Uncertainty Analysis
SOP 21 LPG Prover Calibration</a:t>
            </a:r>
          </a:p>
        </c:rich>
      </c:tx>
      <c:layout>
        <c:manualLayout>
          <c:xMode val="factor"/>
          <c:yMode val="factor"/>
          <c:x val="-0.03425"/>
          <c:y val="-0.0055"/>
        </c:manualLayout>
      </c:layout>
      <c:spPr>
        <a:noFill/>
        <a:ln w="3175">
          <a:noFill/>
        </a:ln>
      </c:spPr>
    </c:title>
    <c:plotArea>
      <c:layout>
        <c:manualLayout>
          <c:xMode val="edge"/>
          <c:yMode val="edge"/>
          <c:x val="0.092"/>
          <c:y val="0.1275"/>
          <c:w val="0.8815"/>
          <c:h val="0.75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'Uncertainty Analysis'!$C$85:$C$95</c:f>
              <c:strCache/>
            </c:strRef>
          </c:cat>
          <c:val>
            <c:numRef>
              <c:f>'Uncertainty Analysis'!$J$85:$J$95</c:f>
              <c:numCache/>
            </c:numRef>
          </c:val>
        </c:ser>
        <c:axId val="11305556"/>
        <c:axId val="34641141"/>
      </c:barChart>
      <c:catAx>
        <c:axId val="11305556"/>
        <c:scaling>
          <c:orientation val="minMax"/>
        </c:scaling>
        <c:axPos val="b"/>
        <c:title>
          <c:tx>
            <c:rich>
              <a:bodyPr vert="horz" rot="0" anchor="ctr"/>
              <a:lstStyle/>
              <a:p>
                <a:pPr algn="ctr">
                  <a:defRPr/>
                </a:pPr>
                <a:r>
                  <a:rPr lang="en-US" cap="none" sz="1200" b="0" i="0" u="none" baseline="0">
                    <a:solidFill>
                      <a:srgbClr val="000000"/>
                    </a:solidFill>
                  </a:rPr>
                  <a:t>Impact Components</a:t>
                </a:r>
              </a:p>
            </c:rich>
          </c:tx>
          <c:layout>
            <c:manualLayout>
              <c:xMode val="factor"/>
              <c:yMode val="factor"/>
              <c:x val="0"/>
              <c:y val="-0.019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4641141"/>
        <c:crosses val="autoZero"/>
        <c:auto val="1"/>
        <c:lblOffset val="100"/>
        <c:tickLblSkip val="1"/>
        <c:noMultiLvlLbl val="0"/>
      </c:catAx>
      <c:valAx>
        <c:axId val="34641141"/>
        <c:scaling>
          <c:orientation val="minMax"/>
        </c:scaling>
        <c:axPos val="l"/>
        <c:title>
          <c:tx>
            <c:strRef>
              <c:f>'Uncertainty Analysis'!$A$106</c:f>
            </c:strRef>
          </c:tx>
          <c:layout>
            <c:manualLayout>
              <c:xMode val="factor"/>
              <c:yMode val="factor"/>
              <c:x val="-0.0145"/>
              <c:y val="0.0285"/>
            </c:manualLayout>
          </c:layout>
          <c:overlay val="0"/>
          <c:spPr>
            <a:noFill/>
            <a:ln w="3175">
              <a:noFill/>
            </a:ln>
          </c:spPr>
          <c:txPr>
            <a:bodyPr vert="horz" rot="-5400000"/>
            <a:lstStyle/>
            <a:p>
              <a:pPr>
                <a:defRPr lang="en-US" cap="none" sz="1200" b="0" i="0" u="none" baseline="0">
                  <a:solidFill>
                    <a:srgbClr val="000000"/>
                  </a:solidFill>
                </a:defRPr>
              </a:pPr>
            </a:p>
          </c:tx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130555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314325</xdr:colOff>
      <xdr:row>0</xdr:row>
      <xdr:rowOff>0</xdr:rowOff>
    </xdr:from>
    <xdr:to>
      <xdr:col>8</xdr:col>
      <xdr:colOff>285750</xdr:colOff>
      <xdr:row>1</xdr:row>
      <xdr:rowOff>47625</xdr:rowOff>
    </xdr:to>
    <xdr:sp>
      <xdr:nvSpPr>
        <xdr:cNvPr id="1" name="Comment 4"/>
        <xdr:cNvSpPr>
          <a:spLocks/>
        </xdr:cNvSpPr>
      </xdr:nvSpPr>
      <xdr:spPr>
        <a:xfrm>
          <a:off x="314325" y="0"/>
          <a:ext cx="5829300" cy="247650"/>
        </a:xfrm>
        <a:prstGeom prst="roundRect">
          <a:avLst/>
        </a:prstGeom>
        <a:solidFill>
          <a:srgbClr val="FFFFFF"/>
        </a:solidFill>
        <a:ln w="9525" cmpd="sng">
          <a:solidFill>
            <a:srgbClr val="993300"/>
          </a:solidFill>
          <a:headEnd type="none"/>
          <a:tailEnd type="none"/>
        </a:ln>
      </xdr:spPr>
      <xdr:txBody>
        <a:bodyPr vertOverflow="clip" wrap="square" anchor="ctr"/>
        <a:p>
          <a:pPr algn="ctr">
            <a:defRPr/>
          </a:pPr>
          <a:r>
            <a:rPr lang="en-US" cap="none" sz="900" b="1" i="0" u="none" baseline="0">
              <a:solidFill>
                <a:srgbClr val="993300"/>
              </a:solidFill>
            </a:rPr>
            <a:t>Unprotect the worksheet, then double click the document to open in Adobe Acrobat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857250</xdr:colOff>
      <xdr:row>0</xdr:row>
      <xdr:rowOff>0</xdr:rowOff>
    </xdr:from>
    <xdr:to>
      <xdr:col>6</xdr:col>
      <xdr:colOff>76200</xdr:colOff>
      <xdr:row>9</xdr:row>
      <xdr:rowOff>76200</xdr:rowOff>
    </xdr:to>
    <xdr:pic>
      <xdr:nvPicPr>
        <xdr:cNvPr id="1" name="Picture 2" descr="WSDALogo-Lab-Letterhead.png"/>
        <xdr:cNvPicPr preferRelativeResize="1">
          <a:picLocks noChangeAspect="1"/>
        </xdr:cNvPicPr>
      </xdr:nvPicPr>
      <xdr:blipFill>
        <a:blip r:embed="rId1"/>
        <a:stretch>
          <a:fillRect/>
        </a:stretch>
      </xdr:blipFill>
      <xdr:spPr>
        <a:xfrm>
          <a:off x="857250" y="0"/>
          <a:ext cx="4762500" cy="1914525"/>
        </a:xfrm>
        <a:prstGeom prst="rect">
          <a:avLst/>
        </a:prstGeom>
        <a:noFill/>
        <a:ln w="9525" cmpd="sng">
          <a:noFill/>
        </a:ln>
      </xdr:spPr>
    </xdr:pic>
    <xdr:clientData/>
  </xdr:twoCellAnchor>
  <xdr:twoCellAnchor editAs="absolute">
    <xdr:from>
      <xdr:col>0</xdr:col>
      <xdr:colOff>419100</xdr:colOff>
      <xdr:row>0</xdr:row>
      <xdr:rowOff>19050</xdr:rowOff>
    </xdr:from>
    <xdr:to>
      <xdr:col>2</xdr:col>
      <xdr:colOff>200025</xdr:colOff>
      <xdr:row>1</xdr:row>
      <xdr:rowOff>28575</xdr:rowOff>
    </xdr:to>
    <xdr:sp>
      <xdr:nvSpPr>
        <xdr:cNvPr id="2" name="Comment 145"/>
        <xdr:cNvSpPr>
          <a:spLocks/>
        </xdr:cNvSpPr>
      </xdr:nvSpPr>
      <xdr:spPr>
        <a:xfrm>
          <a:off x="419100" y="19050"/>
          <a:ext cx="1628775" cy="209550"/>
        </a:xfrm>
        <a:prstGeom prst="roundRect">
          <a:avLst/>
        </a:prstGeom>
        <a:solidFill>
          <a:srgbClr val="FFFFFF"/>
        </a:solidFill>
        <a:ln w="9525" cmpd="sng">
          <a:solidFill>
            <a:srgbClr val="993300"/>
          </a:solidFill>
          <a:headEnd type="none"/>
          <a:tailEnd type="none"/>
        </a:ln>
      </xdr:spPr>
      <xdr:txBody>
        <a:bodyPr vertOverflow="clip" wrap="square"/>
        <a:p>
          <a:pPr algn="ctr">
            <a:defRPr/>
          </a:pPr>
          <a:r>
            <a:rPr lang="en-US" cap="none" sz="800" b="1" i="0" u="none" baseline="0">
              <a:solidFill>
                <a:srgbClr val="FF0000"/>
              </a:solidFill>
            </a:rPr>
            <a:t>Break links to lock in data.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76200</xdr:rowOff>
    </xdr:from>
    <xdr:to>
      <xdr:col>4</xdr:col>
      <xdr:colOff>1771650</xdr:colOff>
      <xdr:row>53</xdr:row>
      <xdr:rowOff>47625</xdr:rowOff>
    </xdr:to>
    <xdr:graphicFrame>
      <xdr:nvGraphicFramePr>
        <xdr:cNvPr id="1" name="Chart 9"/>
        <xdr:cNvGraphicFramePr/>
      </xdr:nvGraphicFramePr>
      <xdr:xfrm>
        <a:off x="0" y="6981825"/>
        <a:ext cx="8896350" cy="5000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55</xdr:row>
      <xdr:rowOff>314325</xdr:rowOff>
    </xdr:from>
    <xdr:to>
      <xdr:col>1</xdr:col>
      <xdr:colOff>228600</xdr:colOff>
      <xdr:row>57</xdr:row>
      <xdr:rowOff>133350</xdr:rowOff>
    </xdr:to>
    <xdr:sp>
      <xdr:nvSpPr>
        <xdr:cNvPr id="1" name="Comment 46" hidden="1"/>
        <xdr:cNvSpPr>
          <a:spLocks/>
        </xdr:cNvSpPr>
      </xdr:nvSpPr>
      <xdr:spPr>
        <a:xfrm>
          <a:off x="28575" y="13087350"/>
          <a:ext cx="866775" cy="590550"/>
        </a:xfrm>
        <a:prstGeom prst="roundRect">
          <a:avLst/>
        </a:prstGeom>
        <a:solidFill>
          <a:srgbClr val="FFFFE1"/>
        </a:solidFill>
        <a:ln w="9525" cmpd="sng">
          <a:solidFill>
            <a:srgbClr val="000000"/>
          </a:solidFill>
          <a:headEnd type="none"/>
          <a:tailEnd type="none"/>
        </a:ln>
      </xdr:spPr>
      <xdr:txBody>
        <a:bodyPr vertOverflow="clip" wrap="square"/>
        <a:p>
          <a:pPr algn="ctr">
            <a:defRPr/>
          </a:pPr>
          <a:r>
            <a:rPr lang="en-US" cap="none" sz="800" b="1" i="0" u="none" baseline="0">
              <a:solidFill>
                <a:srgbClr val="FF0000"/>
              </a:solidFill>
            </a:rPr>
            <a:t>Metric Prover Pressure Test Formula</a:t>
          </a:r>
        </a:p>
      </xdr:txBody>
    </xdr:sp>
    <xdr:clientData/>
  </xdr:twoCellAnchor>
  <xdr:twoCellAnchor editAs="absolute">
    <xdr:from>
      <xdr:col>8</xdr:col>
      <xdr:colOff>1000125</xdr:colOff>
      <xdr:row>55</xdr:row>
      <xdr:rowOff>200025</xdr:rowOff>
    </xdr:from>
    <xdr:to>
      <xdr:col>9</xdr:col>
      <xdr:colOff>857250</xdr:colOff>
      <xdr:row>57</xdr:row>
      <xdr:rowOff>66675</xdr:rowOff>
    </xdr:to>
    <xdr:sp>
      <xdr:nvSpPr>
        <xdr:cNvPr id="2" name="Comment 47" hidden="1"/>
        <xdr:cNvSpPr>
          <a:spLocks/>
        </xdr:cNvSpPr>
      </xdr:nvSpPr>
      <xdr:spPr>
        <a:xfrm>
          <a:off x="6858000" y="12973050"/>
          <a:ext cx="962025" cy="638175"/>
        </a:xfrm>
        <a:prstGeom prst="roundRect">
          <a:avLst/>
        </a:prstGeom>
        <a:solidFill>
          <a:srgbClr val="FFFFE1"/>
        </a:solidFill>
        <a:ln w="9525" cmpd="sng">
          <a:solidFill>
            <a:srgbClr val="000000"/>
          </a:solidFill>
          <a:headEnd type="none"/>
          <a:tailEnd type="none"/>
        </a:ln>
      </xdr:spPr>
      <xdr:txBody>
        <a:bodyPr vertOverflow="clip" wrap="square"/>
        <a:p>
          <a:pPr algn="ctr">
            <a:defRPr/>
          </a:pPr>
          <a:r>
            <a:rPr lang="en-US" cap="none" sz="800" b="1" i="0" u="none" baseline="0">
              <a:solidFill>
                <a:srgbClr val="FF0000"/>
              </a:solidFill>
            </a:rPr>
            <a:t>Customary Prover Pressure Test Formula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106</xdr:row>
      <xdr:rowOff>114300</xdr:rowOff>
    </xdr:from>
    <xdr:to>
      <xdr:col>11</xdr:col>
      <xdr:colOff>809625</xdr:colOff>
      <xdr:row>124</xdr:row>
      <xdr:rowOff>180975</xdr:rowOff>
    </xdr:to>
    <xdr:graphicFrame>
      <xdr:nvGraphicFramePr>
        <xdr:cNvPr id="1" name="Chart 2"/>
        <xdr:cNvGraphicFramePr/>
      </xdr:nvGraphicFramePr>
      <xdr:xfrm>
        <a:off x="57150" y="27508200"/>
        <a:ext cx="10077450" cy="3495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IST%20HB%20145,%20SOP%2021%20-%20LPG%20Provers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wright\Documents\Laboratory%20Documents\Templates\Measurement%20Related\Uncertainties\GravC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wright\Documents\Laboratory%20Documents\Templates\Measurement%20Related\Volume%20Calibrations\Volume%20Workbook%20Templates\Uncertainties\GravC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an%20Wright\My%20Documents\WSDA%20Metrology%20Laboratory\Uncertainties\Budgets\GravC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45LPG"/>
      <sheetName val="Current"/>
      <sheetName val="Pcorr Table &amp; Chart"/>
    </sheetNames>
    <sheetDataSet>
      <sheetData sheetId="0">
        <row r="67">
          <cell r="F67">
            <v>1</v>
          </cell>
        </row>
        <row r="99">
          <cell r="G99">
            <v>0</v>
          </cell>
          <cell r="I99">
            <v>0</v>
          </cell>
          <cell r="J99" t="e">
            <v>#VALUE!</v>
          </cell>
        </row>
        <row r="100">
          <cell r="G100">
            <v>10</v>
          </cell>
          <cell r="I100">
            <v>0</v>
          </cell>
          <cell r="J100" t="e">
            <v>#VALUE!</v>
          </cell>
        </row>
        <row r="101">
          <cell r="G101">
            <v>20</v>
          </cell>
          <cell r="I101">
            <v>0</v>
          </cell>
          <cell r="J101" t="e">
            <v>#VALUE!</v>
          </cell>
        </row>
        <row r="102">
          <cell r="G102">
            <v>30</v>
          </cell>
          <cell r="I102">
            <v>0</v>
          </cell>
          <cell r="J102" t="e">
            <v>#VALUE!</v>
          </cell>
        </row>
        <row r="103">
          <cell r="G103">
            <v>40</v>
          </cell>
          <cell r="I103">
            <v>0</v>
          </cell>
          <cell r="J103" t="e">
            <v>#VALUE!</v>
          </cell>
        </row>
        <row r="104">
          <cell r="G104">
            <v>50</v>
          </cell>
          <cell r="I104">
            <v>0</v>
          </cell>
          <cell r="J104" t="e">
            <v>#VALUE!</v>
          </cell>
        </row>
        <row r="105">
          <cell r="G105">
            <v>60</v>
          </cell>
          <cell r="I105">
            <v>0</v>
          </cell>
          <cell r="J105" t="e">
            <v>#VALUE!</v>
          </cell>
        </row>
        <row r="106">
          <cell r="G106">
            <v>70</v>
          </cell>
          <cell r="I106">
            <v>0</v>
          </cell>
          <cell r="J106" t="e">
            <v>#VALUE!</v>
          </cell>
        </row>
        <row r="107">
          <cell r="G107">
            <v>80</v>
          </cell>
          <cell r="I107">
            <v>0</v>
          </cell>
          <cell r="J107" t="e">
            <v>#VALUE!</v>
          </cell>
        </row>
        <row r="108">
          <cell r="G108">
            <v>90</v>
          </cell>
          <cell r="I108">
            <v>0</v>
          </cell>
          <cell r="J108" t="e">
            <v>#VALUE!</v>
          </cell>
        </row>
        <row r="109">
          <cell r="G109">
            <v>100</v>
          </cell>
          <cell r="I109">
            <v>0</v>
          </cell>
          <cell r="J109" t="e">
            <v>#VALUE!</v>
          </cell>
        </row>
        <row r="110">
          <cell r="G110">
            <v>110</v>
          </cell>
          <cell r="I110">
            <v>0</v>
          </cell>
          <cell r="J110" t="e">
            <v>#VALUE!</v>
          </cell>
        </row>
        <row r="111">
          <cell r="G111">
            <v>120</v>
          </cell>
          <cell r="I111">
            <v>0</v>
          </cell>
          <cell r="J111" t="e">
            <v>#VALUE!</v>
          </cell>
        </row>
        <row r="112">
          <cell r="G112">
            <v>130</v>
          </cell>
          <cell r="I112">
            <v>0</v>
          </cell>
          <cell r="J112" t="e">
            <v>#VALUE!</v>
          </cell>
        </row>
        <row r="113">
          <cell r="G113">
            <v>140</v>
          </cell>
          <cell r="I113">
            <v>0</v>
          </cell>
          <cell r="J113" t="e">
            <v>#VALUE!</v>
          </cell>
        </row>
        <row r="114">
          <cell r="G114">
            <v>150</v>
          </cell>
          <cell r="I114">
            <v>0</v>
          </cell>
          <cell r="J114" t="e">
            <v>#VALUE!</v>
          </cell>
        </row>
        <row r="115">
          <cell r="G115">
            <v>160</v>
          </cell>
          <cell r="I115">
            <v>0</v>
          </cell>
          <cell r="J115" t="e">
            <v>#VALUE!</v>
          </cell>
        </row>
        <row r="116">
          <cell r="G116">
            <v>170</v>
          </cell>
          <cell r="I116">
            <v>0</v>
          </cell>
          <cell r="J116" t="e">
            <v>#VALUE!</v>
          </cell>
        </row>
        <row r="117">
          <cell r="G117">
            <v>180</v>
          </cell>
          <cell r="I117">
            <v>0</v>
          </cell>
          <cell r="J117" t="e">
            <v>#VALUE!</v>
          </cell>
        </row>
        <row r="118">
          <cell r="G118">
            <v>190</v>
          </cell>
          <cell r="I118">
            <v>0</v>
          </cell>
          <cell r="J118" t="e">
            <v>#VALUE!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 Liter"/>
      <sheetName val="5 Gallon"/>
      <sheetName val="5 Gal Unc"/>
      <sheetName val="CIPM Air Density 1981_91"/>
      <sheetName val="Water Density"/>
      <sheetName val="Water Density Chart"/>
      <sheetName val="Water Density Chart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 Liter"/>
      <sheetName val="5 Gallon"/>
      <sheetName val="5 Gal Unc"/>
      <sheetName val="CIPM Air Density 1981_91"/>
      <sheetName val="Water Density"/>
      <sheetName val="Water Density Chart"/>
      <sheetName val="Water Density Chart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 Liter"/>
      <sheetName val="5 Gallon"/>
      <sheetName val="5 Gal Unc"/>
      <sheetName val="CIPM Air Density 1981_91"/>
      <sheetName val="Water Density"/>
      <sheetName val="Water Density Chart"/>
      <sheetName val="Water Density Chart 2"/>
    </sheetNames>
  </externalBook>
</externalLink>
</file>

<file path=xl/tables/table1.xml><?xml version="1.0" encoding="utf-8"?>
<table xmlns="http://schemas.openxmlformats.org/spreadsheetml/2006/main" id="1" name="List1" displayName="List1" ref="A2:C72" totalsRowShown="0">
  <autoFilter ref="A2:C72"/>
  <tableColumns count="3">
    <tableColumn id="1" name="Date"/>
    <tableColumn id="2" name="Description"/>
    <tableColumn id="3" name="Initials"/>
  </tableColumns>
  <tableStyleInfo name="TableStyleMedium4" showFirstColumn="0" showLastColumn="0" showRowStripes="1" showColumnStripes="0"/>
</table>
</file>

<file path=xl/tables/table2.xml><?xml version="1.0" encoding="utf-8"?>
<table xmlns="http://schemas.openxmlformats.org/spreadsheetml/2006/main" id="2" name="List13" displayName="List13" ref="A2:B7" totalsRowShown="0">
  <autoFilter ref="A2:B7"/>
  <tableColumns count="2">
    <tableColumn id="1" name="No."/>
    <tableColumn id="2" name="Description"/>
  </tableColumns>
  <tableStyleInfo name="TableStyleMedium6" showFirstColumn="0" showLastColumn="0" showRowStripes="1" showColumnStripes="0"/>
</table>
</file>

<file path=xl/tables/table3.xml><?xml version="1.0" encoding="utf-8"?>
<table xmlns="http://schemas.openxmlformats.org/spreadsheetml/2006/main" id="3" name="Table3" displayName="Table3" ref="A9:B106" totalsRowShown="0">
  <autoFilter ref="A9:B106"/>
  <tableColumns count="2">
    <tableColumn id="1" name="Date"/>
    <tableColumn id="2" name="Descriptio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vmlDrawing" Target="../drawings/vmlDrawing4.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oleObject" Target="../embeddings/oleObject_12_2.bin" /><Relationship Id="rId4" Type="http://schemas.openxmlformats.org/officeDocument/2006/relationships/oleObject" Target="../embeddings/oleObject_12_3.bin" /><Relationship Id="rId5" Type="http://schemas.openxmlformats.org/officeDocument/2006/relationships/oleObject" Target="../embeddings/oleObject_12_4.bin" /><Relationship Id="rId6" Type="http://schemas.openxmlformats.org/officeDocument/2006/relationships/oleObject" Target="../embeddings/oleObject_12_5.bin" /><Relationship Id="rId7" Type="http://schemas.openxmlformats.org/officeDocument/2006/relationships/vmlDrawing" Target="../drawings/vmlDrawing5.vml" /><Relationship Id="rId8" Type="http://schemas.openxmlformats.org/officeDocument/2006/relationships/drawing" Target="../drawings/drawing5.xml" /><Relationship Id="rId9"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H57"/>
  <sheetViews>
    <sheetView showGridLines="0" zoomScale="75" zoomScaleNormal="75" zoomScalePageLayoutView="0" workbookViewId="0" topLeftCell="A1">
      <selection activeCell="B4" sqref="B4"/>
    </sheetView>
  </sheetViews>
  <sheetFormatPr defaultColWidth="0" defaultRowHeight="0" customHeight="1" zeroHeight="1"/>
  <cols>
    <col min="1" max="1" width="12.21484375" style="259" customWidth="1"/>
    <col min="2" max="2" width="58.3359375" style="259" customWidth="1"/>
    <col min="3" max="3" width="9.5546875" style="260" customWidth="1"/>
    <col min="4" max="4" width="58.3359375" style="259" customWidth="1"/>
    <col min="5" max="5" width="3.77734375" style="259" customWidth="1"/>
    <col min="6" max="16384" width="7.99609375" style="259" hidden="1" customWidth="1"/>
  </cols>
  <sheetData>
    <row r="1" spans="1:3" s="342" customFormat="1" ht="21">
      <c r="A1" s="344" t="s">
        <v>436</v>
      </c>
      <c r="C1" s="343"/>
    </row>
    <row r="2" spans="1:3" s="335" customFormat="1" ht="18">
      <c r="A2" s="341"/>
      <c r="C2" s="340"/>
    </row>
    <row r="3" spans="1:4" s="335" customFormat="1" ht="36">
      <c r="A3" s="337" t="s">
        <v>435</v>
      </c>
      <c r="B3" s="338" t="s">
        <v>777</v>
      </c>
      <c r="C3" s="337" t="s">
        <v>434</v>
      </c>
      <c r="D3" s="339">
        <v>41934</v>
      </c>
    </row>
    <row r="4" spans="1:4" s="335" customFormat="1" ht="36">
      <c r="A4" s="337" t="s">
        <v>433</v>
      </c>
      <c r="B4" s="338" t="s">
        <v>431</v>
      </c>
      <c r="C4" s="337" t="s">
        <v>432</v>
      </c>
      <c r="D4" s="336" t="s">
        <v>431</v>
      </c>
    </row>
    <row r="5" spans="1:4" s="330" customFormat="1" ht="18" customHeight="1">
      <c r="A5" s="334" t="s">
        <v>430</v>
      </c>
      <c r="B5" s="333" t="s">
        <v>429</v>
      </c>
      <c r="C5" s="332" t="s">
        <v>428</v>
      </c>
      <c r="D5" s="331" t="s">
        <v>427</v>
      </c>
    </row>
    <row r="6" spans="1:4" ht="18" customHeight="1">
      <c r="A6" s="589" t="s">
        <v>426</v>
      </c>
      <c r="B6" s="286" t="s">
        <v>425</v>
      </c>
      <c r="C6" s="285" t="s">
        <v>333</v>
      </c>
      <c r="D6" s="284" t="s">
        <v>424</v>
      </c>
    </row>
    <row r="7" spans="1:4" ht="18" customHeight="1">
      <c r="A7" s="592"/>
      <c r="B7" s="329" t="s">
        <v>423</v>
      </c>
      <c r="C7" s="282" t="s">
        <v>333</v>
      </c>
      <c r="D7" s="328" t="s">
        <v>422</v>
      </c>
    </row>
    <row r="8" spans="1:4" ht="36" customHeight="1">
      <c r="A8" s="592"/>
      <c r="B8" s="286" t="s">
        <v>421</v>
      </c>
      <c r="C8" s="285" t="s">
        <v>333</v>
      </c>
      <c r="D8" s="284" t="s">
        <v>420</v>
      </c>
    </row>
    <row r="9" spans="1:4" ht="36" customHeight="1">
      <c r="A9" s="592"/>
      <c r="B9" s="329" t="s">
        <v>419</v>
      </c>
      <c r="C9" s="282" t="s">
        <v>333</v>
      </c>
      <c r="D9" s="328" t="s">
        <v>418</v>
      </c>
    </row>
    <row r="10" spans="1:4" ht="18" customHeight="1">
      <c r="A10" s="592"/>
      <c r="B10" s="286" t="s">
        <v>417</v>
      </c>
      <c r="C10" s="285" t="s">
        <v>333</v>
      </c>
      <c r="D10" s="284" t="s">
        <v>416</v>
      </c>
    </row>
    <row r="11" spans="1:4" ht="57" customHeight="1">
      <c r="A11" s="592"/>
      <c r="B11" s="329" t="s">
        <v>415</v>
      </c>
      <c r="C11" s="282" t="s">
        <v>333</v>
      </c>
      <c r="D11" s="328" t="s">
        <v>452</v>
      </c>
    </row>
    <row r="12" spans="1:4" ht="18" customHeight="1">
      <c r="A12" s="592"/>
      <c r="B12" s="286" t="s">
        <v>414</v>
      </c>
      <c r="C12" s="285" t="s">
        <v>333</v>
      </c>
      <c r="D12" s="284" t="s">
        <v>413</v>
      </c>
    </row>
    <row r="13" spans="1:4" ht="36.75" customHeight="1">
      <c r="A13" s="592"/>
      <c r="B13" s="329" t="s">
        <v>412</v>
      </c>
      <c r="C13" s="282" t="s">
        <v>333</v>
      </c>
      <c r="D13" s="328" t="s">
        <v>411</v>
      </c>
    </row>
    <row r="14" spans="1:4" ht="18" customHeight="1">
      <c r="A14" s="592"/>
      <c r="B14" s="286" t="s">
        <v>410</v>
      </c>
      <c r="C14" s="285" t="s">
        <v>333</v>
      </c>
      <c r="D14" s="284" t="s">
        <v>409</v>
      </c>
    </row>
    <row r="15" spans="1:4" ht="18" customHeight="1">
      <c r="A15" s="592"/>
      <c r="B15" s="329" t="s">
        <v>408</v>
      </c>
      <c r="C15" s="282" t="s">
        <v>333</v>
      </c>
      <c r="D15" s="328" t="s">
        <v>407</v>
      </c>
    </row>
    <row r="16" spans="1:4" ht="18" customHeight="1">
      <c r="A16" s="592"/>
      <c r="B16" s="286" t="s">
        <v>406</v>
      </c>
      <c r="C16" s="285" t="s">
        <v>347</v>
      </c>
      <c r="D16" s="284" t="s">
        <v>405</v>
      </c>
    </row>
    <row r="17" spans="1:4" ht="18" customHeight="1">
      <c r="A17" s="592"/>
      <c r="B17" s="329" t="s">
        <v>404</v>
      </c>
      <c r="C17" s="282" t="s">
        <v>333</v>
      </c>
      <c r="D17" s="328" t="s">
        <v>403</v>
      </c>
    </row>
    <row r="18" spans="1:4" ht="18" customHeight="1">
      <c r="A18" s="592"/>
      <c r="B18" s="327" t="s">
        <v>402</v>
      </c>
      <c r="C18" s="326" t="s">
        <v>333</v>
      </c>
      <c r="D18" s="325" t="s">
        <v>401</v>
      </c>
    </row>
    <row r="19" spans="1:4" ht="18" customHeight="1">
      <c r="A19" s="593" t="s">
        <v>400</v>
      </c>
      <c r="B19" s="324" t="s">
        <v>399</v>
      </c>
      <c r="C19" s="323" t="s">
        <v>333</v>
      </c>
      <c r="D19" s="322" t="s">
        <v>437</v>
      </c>
    </row>
    <row r="20" spans="1:4" ht="23.25" customHeight="1">
      <c r="A20" s="593"/>
      <c r="B20" s="321" t="s">
        <v>398</v>
      </c>
      <c r="C20" s="320" t="s">
        <v>333</v>
      </c>
      <c r="D20" s="319" t="s">
        <v>397</v>
      </c>
    </row>
    <row r="21" spans="1:4" ht="18" customHeight="1">
      <c r="A21" s="593"/>
      <c r="B21" s="324" t="s">
        <v>396</v>
      </c>
      <c r="C21" s="323" t="s">
        <v>333</v>
      </c>
      <c r="D21" s="322" t="s">
        <v>395</v>
      </c>
    </row>
    <row r="22" spans="1:4" ht="36" customHeight="1">
      <c r="A22" s="593"/>
      <c r="B22" s="321" t="s">
        <v>394</v>
      </c>
      <c r="C22" s="320" t="s">
        <v>333</v>
      </c>
      <c r="D22" s="319" t="s">
        <v>393</v>
      </c>
    </row>
    <row r="23" spans="1:4" ht="18" customHeight="1">
      <c r="A23" s="594" t="s">
        <v>392</v>
      </c>
      <c r="B23" s="317" t="s">
        <v>391</v>
      </c>
      <c r="C23" s="316" t="s">
        <v>333</v>
      </c>
      <c r="D23" s="315" t="s">
        <v>390</v>
      </c>
    </row>
    <row r="24" spans="1:4" ht="18" customHeight="1">
      <c r="A24" s="594"/>
      <c r="B24" s="275" t="s">
        <v>389</v>
      </c>
      <c r="C24" s="313" t="s">
        <v>333</v>
      </c>
      <c r="D24" s="318" t="s">
        <v>388</v>
      </c>
    </row>
    <row r="25" spans="1:4" ht="36" customHeight="1">
      <c r="A25" s="594"/>
      <c r="B25" s="317" t="s">
        <v>387</v>
      </c>
      <c r="C25" s="316" t="s">
        <v>333</v>
      </c>
      <c r="D25" s="315" t="s">
        <v>386</v>
      </c>
    </row>
    <row r="26" spans="1:4" ht="18" customHeight="1">
      <c r="A26" s="594"/>
      <c r="B26" s="314" t="s">
        <v>385</v>
      </c>
      <c r="C26" s="313" t="s">
        <v>333</v>
      </c>
      <c r="D26" s="312" t="s">
        <v>384</v>
      </c>
    </row>
    <row r="27" spans="1:4" ht="36" customHeight="1">
      <c r="A27" s="590" t="s">
        <v>383</v>
      </c>
      <c r="B27" s="272" t="s">
        <v>382</v>
      </c>
      <c r="C27" s="271" t="s">
        <v>333</v>
      </c>
      <c r="D27" s="311" t="s">
        <v>381</v>
      </c>
    </row>
    <row r="28" spans="1:4" ht="36" customHeight="1">
      <c r="A28" s="590"/>
      <c r="B28" s="270" t="s">
        <v>380</v>
      </c>
      <c r="C28" s="269" t="s">
        <v>333</v>
      </c>
      <c r="D28" s="310" t="s">
        <v>379</v>
      </c>
    </row>
    <row r="29" spans="1:4" ht="36" customHeight="1">
      <c r="A29" s="590"/>
      <c r="B29" s="309" t="s">
        <v>378</v>
      </c>
      <c r="C29" s="308" t="s">
        <v>333</v>
      </c>
      <c r="D29" s="307" t="s">
        <v>377</v>
      </c>
    </row>
    <row r="30" spans="1:4" ht="18" customHeight="1">
      <c r="A30" s="595" t="s">
        <v>376</v>
      </c>
      <c r="B30" s="303" t="s">
        <v>375</v>
      </c>
      <c r="C30" s="302" t="s">
        <v>333</v>
      </c>
      <c r="D30" s="301" t="s">
        <v>451</v>
      </c>
    </row>
    <row r="31" spans="1:4" ht="18" customHeight="1">
      <c r="A31" s="595"/>
      <c r="B31" s="306" t="s">
        <v>374</v>
      </c>
      <c r="C31" s="305" t="s">
        <v>347</v>
      </c>
      <c r="D31" s="304" t="s">
        <v>373</v>
      </c>
    </row>
    <row r="32" spans="1:4" ht="18" customHeight="1">
      <c r="A32" s="595"/>
      <c r="B32" s="303" t="s">
        <v>372</v>
      </c>
      <c r="C32" s="302" t="s">
        <v>333</v>
      </c>
      <c r="D32" s="301" t="s">
        <v>381</v>
      </c>
    </row>
    <row r="33" spans="1:4" ht="18" customHeight="1">
      <c r="A33" s="595"/>
      <c r="B33" s="306" t="s">
        <v>371</v>
      </c>
      <c r="C33" s="305" t="s">
        <v>333</v>
      </c>
      <c r="D33" s="304" t="s">
        <v>370</v>
      </c>
    </row>
    <row r="34" spans="1:4" ht="18" customHeight="1">
      <c r="A34" s="595"/>
      <c r="B34" s="303" t="s">
        <v>369</v>
      </c>
      <c r="C34" s="302" t="s">
        <v>333</v>
      </c>
      <c r="D34" s="301" t="s">
        <v>368</v>
      </c>
    </row>
    <row r="35" spans="1:4" ht="18" customHeight="1">
      <c r="A35" s="595"/>
      <c r="B35" s="300" t="s">
        <v>367</v>
      </c>
      <c r="C35" s="299" t="s">
        <v>333</v>
      </c>
      <c r="D35" s="298" t="s">
        <v>366</v>
      </c>
    </row>
    <row r="36" spans="1:4" ht="18" customHeight="1">
      <c r="A36" s="596" t="s">
        <v>365</v>
      </c>
      <c r="B36" s="297" t="s">
        <v>364</v>
      </c>
      <c r="C36" s="296" t="s">
        <v>333</v>
      </c>
      <c r="D36" s="290" t="s">
        <v>363</v>
      </c>
    </row>
    <row r="37" spans="1:4" ht="35.25" customHeight="1">
      <c r="A37" s="596"/>
      <c r="B37" s="295" t="s">
        <v>362</v>
      </c>
      <c r="C37" s="294" t="s">
        <v>333</v>
      </c>
      <c r="D37" s="293" t="s">
        <v>361</v>
      </c>
    </row>
    <row r="38" spans="1:4" ht="18" customHeight="1">
      <c r="A38" s="596"/>
      <c r="B38" s="292" t="s">
        <v>360</v>
      </c>
      <c r="C38" s="291" t="s">
        <v>333</v>
      </c>
      <c r="D38" s="290" t="s">
        <v>359</v>
      </c>
    </row>
    <row r="39" spans="1:4" ht="54" customHeight="1">
      <c r="A39" s="596"/>
      <c r="B39" s="289" t="s">
        <v>358</v>
      </c>
      <c r="C39" s="288" t="s">
        <v>347</v>
      </c>
      <c r="D39" s="287"/>
    </row>
    <row r="40" spans="1:4" ht="36" customHeight="1">
      <c r="A40" s="588" t="s">
        <v>357</v>
      </c>
      <c r="B40" s="286" t="s">
        <v>356</v>
      </c>
      <c r="C40" s="285" t="s">
        <v>333</v>
      </c>
      <c r="D40" s="284" t="s">
        <v>355</v>
      </c>
    </row>
    <row r="41" spans="1:4" ht="36" customHeight="1">
      <c r="A41" s="589"/>
      <c r="B41" s="283" t="s">
        <v>354</v>
      </c>
      <c r="C41" s="282" t="s">
        <v>333</v>
      </c>
      <c r="D41" s="281" t="s">
        <v>353</v>
      </c>
    </row>
    <row r="42" spans="1:4" ht="54" customHeight="1">
      <c r="A42" s="280" t="s">
        <v>352</v>
      </c>
      <c r="B42" s="279" t="s">
        <v>351</v>
      </c>
      <c r="C42" s="278" t="s">
        <v>333</v>
      </c>
      <c r="D42" s="277" t="s">
        <v>350</v>
      </c>
    </row>
    <row r="43" spans="1:4" ht="63.75" customHeight="1">
      <c r="A43" s="276" t="s">
        <v>349</v>
      </c>
      <c r="B43" s="275" t="s">
        <v>348</v>
      </c>
      <c r="C43" s="274" t="s">
        <v>347</v>
      </c>
      <c r="D43" s="273" t="s">
        <v>346</v>
      </c>
    </row>
    <row r="44" spans="1:4" ht="36" customHeight="1">
      <c r="A44" s="590" t="s">
        <v>345</v>
      </c>
      <c r="B44" s="272" t="s">
        <v>344</v>
      </c>
      <c r="C44" s="271" t="s">
        <v>333</v>
      </c>
      <c r="D44" s="265" t="s">
        <v>343</v>
      </c>
    </row>
    <row r="45" spans="1:4" ht="18" customHeight="1">
      <c r="A45" s="590"/>
      <c r="B45" s="270" t="s">
        <v>342</v>
      </c>
      <c r="C45" s="269" t="s">
        <v>333</v>
      </c>
      <c r="D45" s="268" t="s">
        <v>341</v>
      </c>
    </row>
    <row r="46" spans="1:4" ht="18" customHeight="1">
      <c r="A46" s="590"/>
      <c r="B46" s="267" t="s">
        <v>340</v>
      </c>
      <c r="C46" s="266" t="s">
        <v>333</v>
      </c>
      <c r="D46" s="265" t="s">
        <v>339</v>
      </c>
    </row>
    <row r="47" spans="1:4" ht="18" customHeight="1">
      <c r="A47" s="590"/>
      <c r="B47" s="270" t="s">
        <v>338</v>
      </c>
      <c r="C47" s="269" t="s">
        <v>333</v>
      </c>
      <c r="D47" s="268" t="s">
        <v>337</v>
      </c>
    </row>
    <row r="48" spans="1:4" ht="18" customHeight="1">
      <c r="A48" s="590"/>
      <c r="B48" s="267" t="s">
        <v>336</v>
      </c>
      <c r="C48" s="266" t="s">
        <v>333</v>
      </c>
      <c r="D48" s="265" t="s">
        <v>335</v>
      </c>
    </row>
    <row r="49" spans="1:4" ht="18" customHeight="1">
      <c r="A49" s="590"/>
      <c r="B49" s="264" t="s">
        <v>334</v>
      </c>
      <c r="C49" s="263" t="s">
        <v>333</v>
      </c>
      <c r="D49" s="262" t="s">
        <v>332</v>
      </c>
    </row>
    <row r="50" ht="12.75"/>
    <row r="51" ht="12.75" hidden="1"/>
    <row r="52" ht="12.75" hidden="1"/>
    <row r="53" ht="12.75" hidden="1"/>
    <row r="54" ht="12.75" hidden="1"/>
    <row r="55" ht="12.75" hidden="1"/>
    <row r="56" ht="12.75" hidden="1"/>
    <row r="57" spans="5:8" ht="12.75" hidden="1">
      <c r="E57" s="591"/>
      <c r="F57" s="591"/>
      <c r="G57" s="261"/>
      <c r="H57" s="261"/>
    </row>
  </sheetData>
  <sheetProtection password="83AF" sheet="1" objects="1" scenarios="1"/>
  <mergeCells count="9">
    <mergeCell ref="A40:A41"/>
    <mergeCell ref="A44:A49"/>
    <mergeCell ref="E57:F57"/>
    <mergeCell ref="A6:A18"/>
    <mergeCell ref="A19:A22"/>
    <mergeCell ref="A23:A26"/>
    <mergeCell ref="A27:A29"/>
    <mergeCell ref="A30:A35"/>
    <mergeCell ref="A36:A39"/>
  </mergeCells>
  <dataValidations count="1">
    <dataValidation type="list" allowBlank="1" showInputMessage="1" showErrorMessage="1" sqref="C6:C49">
      <formula1>"Pass,Fail,N/A"</formula1>
    </dataValidation>
  </dataValidations>
  <printOptions horizontalCentered="1"/>
  <pageMargins left="0.5" right="0.5" top="0.75" bottom="0.75" header="0.3" footer="0.3"/>
  <pageSetup fitToHeight="5" horizontalDpi="600" verticalDpi="600" orientation="landscape" scale="77" r:id="rId1"/>
  <headerFooter>
    <oddHeader>&amp;L&amp;"Trebuchet MS,Regular"Weights and Measures Program
Metrology Laboratory&amp;R&amp;"Trebuchet MS,Regular"WAQCF-018, Rev. 04, 8/9/2010</oddHeader>
    <oddFooter>&amp;R&amp;"Trebuchet MS,Regular"Page &amp;P of &amp;N</oddFooter>
  </headerFooter>
  <rowBreaks count="2" manualBreakCount="2">
    <brk id="26" max="3" man="1"/>
    <brk id="43" max="3" man="1"/>
  </rowBreaks>
</worksheet>
</file>

<file path=xl/worksheets/sheet10.xml><?xml version="1.0" encoding="utf-8"?>
<worksheet xmlns="http://schemas.openxmlformats.org/spreadsheetml/2006/main" xmlns:r="http://schemas.openxmlformats.org/officeDocument/2006/relationships">
  <sheetPr>
    <tabColor rgb="FF008000"/>
  </sheetPr>
  <dimension ref="A1:S108"/>
  <sheetViews>
    <sheetView showGridLines="0" zoomScalePageLayoutView="0" workbookViewId="0" topLeftCell="A1">
      <selection activeCell="A1" sqref="A1"/>
    </sheetView>
  </sheetViews>
  <sheetFormatPr defaultColWidth="0" defaultRowHeight="15.75" zeroHeight="1"/>
  <cols>
    <col min="1" max="2" width="7.77734375" style="2" customWidth="1"/>
    <col min="3" max="3" width="6.77734375" style="2" customWidth="1"/>
    <col min="4" max="4" width="12.88671875" style="2" customWidth="1"/>
    <col min="5" max="5" width="10.77734375" style="2" customWidth="1"/>
    <col min="6" max="7" width="7.77734375" style="2" customWidth="1"/>
    <col min="8" max="8" width="6.77734375" style="2" customWidth="1"/>
    <col min="9" max="9" width="12.88671875" style="15" customWidth="1"/>
    <col min="10" max="10" width="10.77734375" style="15" customWidth="1"/>
    <col min="11" max="11" width="3.77734375" style="15" customWidth="1"/>
    <col min="12" max="13" width="0" style="15" hidden="1" customWidth="1"/>
    <col min="14" max="14" width="9.77734375" style="15" hidden="1" customWidth="1"/>
    <col min="15" max="15" width="13.77734375" style="15" hidden="1" customWidth="1"/>
    <col min="16" max="17" width="0" style="2" hidden="1" customWidth="1"/>
    <col min="18" max="18" width="15.5546875" style="2" hidden="1" customWidth="1"/>
    <col min="19" max="19" width="15.4453125" style="2" hidden="1" customWidth="1"/>
    <col min="20" max="16384" width="8.88671875" style="2" hidden="1" customWidth="1"/>
  </cols>
  <sheetData>
    <row r="1" spans="1:10" ht="19.5" thickBot="1">
      <c r="A1" s="62" t="s">
        <v>74</v>
      </c>
      <c r="B1" s="62"/>
      <c r="C1" s="62"/>
      <c r="D1" s="62"/>
      <c r="E1" s="62"/>
      <c r="F1" s="62"/>
      <c r="G1" s="62"/>
      <c r="H1" s="62"/>
      <c r="I1" s="63"/>
      <c r="J1" s="66">
        <f>IF(RptNo="","","Report Number: "&amp;RptNo)</f>
      </c>
    </row>
    <row r="2" spans="3:15" s="12" customFormat="1" ht="12" customHeight="1">
      <c r="C2" s="10"/>
      <c r="D2" s="11"/>
      <c r="I2" s="16"/>
      <c r="J2" s="16"/>
      <c r="K2" s="16"/>
      <c r="L2" s="16"/>
      <c r="M2" s="16"/>
      <c r="N2" s="16"/>
      <c r="O2" s="16"/>
    </row>
    <row r="3" spans="1:15" s="12" customFormat="1" ht="18">
      <c r="A3" s="121" t="s">
        <v>75</v>
      </c>
      <c r="B3" s="121"/>
      <c r="C3" s="122"/>
      <c r="D3" s="123"/>
      <c r="E3" s="52"/>
      <c r="F3" s="124"/>
      <c r="G3" s="124"/>
      <c r="H3" s="52"/>
      <c r="I3" s="53"/>
      <c r="J3" s="53"/>
      <c r="K3" s="16"/>
      <c r="L3" s="16"/>
      <c r="M3" s="16"/>
      <c r="N3" s="16"/>
      <c r="O3" s="16"/>
    </row>
    <row r="4" spans="1:15" s="12" customFormat="1" ht="15.75" customHeight="1">
      <c r="A4" s="795" t="s">
        <v>76</v>
      </c>
      <c r="B4" s="796"/>
      <c r="C4" s="796"/>
      <c r="D4" s="796"/>
      <c r="E4" s="797"/>
      <c r="F4" s="796" t="s">
        <v>77</v>
      </c>
      <c r="G4" s="796"/>
      <c r="H4" s="796"/>
      <c r="I4" s="796"/>
      <c r="J4" s="797"/>
      <c r="K4" s="16"/>
      <c r="L4" s="16"/>
      <c r="M4" s="16"/>
      <c r="N4" s="16"/>
      <c r="O4" s="16"/>
    </row>
    <row r="5" spans="1:15" s="12" customFormat="1" ht="49.5" customHeight="1">
      <c r="A5" s="61" t="s">
        <v>20</v>
      </c>
      <c r="B5" s="128" t="str">
        <f>IF(RefTempUnit="Designated Reference Temperature For This Calibration (ºC)","Std. Ref. Temp. (trefS ºC)","Std. Ref. Temp. (trefS ºF)")</f>
        <v>Std. Ref. Temp. (trefS ºF)</v>
      </c>
      <c r="C5" s="59" t="str">
        <f>IF(RefTempUnit="Designated Reference Temperature For This Calibration (ºC)","Water Temp.
(ºC)","Water Temp.
(ºF)")</f>
        <v>Water Temp.
(ºF)</v>
      </c>
      <c r="D5" s="59" t="s">
        <v>78</v>
      </c>
      <c r="E5" s="60" t="str">
        <f>IF(NomValUnit="","Delivered
Volume",IF(NomValUnit="Nominal Volume (L)","Delivered
Volume
(L)","Delivered
Volume
(gal)"))</f>
        <v>Delivered
Volume</v>
      </c>
      <c r="F5" s="61" t="s">
        <v>20</v>
      </c>
      <c r="G5" s="128" t="str">
        <f>IF(RefTempUnit="Designated Reference Temperature For This Calibration (ºC)","Std. Ref. Temp. (trefS ºC)","Std. Ref. Temp. (trefS ºF)")</f>
        <v>Std. Ref. Temp. (trefS ºF)</v>
      </c>
      <c r="H5" s="59" t="str">
        <f>IF(RefTempUnit="Designated Reference Temperature For This Calibration (ºC)","Water Temp.
(ºC)","Water Temp.
(ºF)")</f>
        <v>Water Temp.
(ºF)</v>
      </c>
      <c r="I5" s="59" t="s">
        <v>78</v>
      </c>
      <c r="J5" s="120" t="str">
        <f>IF(NomValUnit="","Delivered
Volume",IF(NomValUnit="Nominal Volume (L)","Delivered
Volume
(L)","Delivered
Volume
(gal)"))</f>
        <v>Delivered
Volume</v>
      </c>
      <c r="K5" s="16"/>
      <c r="L5" s="16"/>
      <c r="M5" s="16"/>
      <c r="N5" s="16"/>
      <c r="O5" s="16"/>
    </row>
    <row r="6" spans="1:15" s="12" customFormat="1" ht="15.75" customHeight="1">
      <c r="A6" s="32">
        <v>1</v>
      </c>
      <c r="B6" s="131">
        <f>IF('Prover Data Entry'!B59="","",VLOOKUP('Prover Data Entry'!B59,Standards_Table_B,5,FALSE))</f>
      </c>
      <c r="C6" s="131">
        <f>IF('Prover Data Entry'!B59="","",IF(RefTempUnit="Designated Reference Temperature For This Calibration (ºC)",'Prover Data Entry'!D59+StdTempCorr,('Prover Data Entry'!D59+StdTempCorr)*1.8+32))</f>
      </c>
      <c r="D6" s="129">
        <f>IF('Prover Data Entry'!B59="","",ROUND((999.97495*(1-((('Prover Data Entry'!D59+StdTempCorr)-3.983035)^2*(('Prover Data Entry'!D59+StdTempCorr)+301.797))/(522528.9*(('Prover Data Entry'!D59+StdTempCorr)+69.34881))))/1000+(-4.612+0.106*('Prover Data Entry'!D59+StdTempCorr))/1000000,8))</f>
      </c>
      <c r="E6" s="130">
        <f>IF('Prover Data Entry'!B59="","",IF(NomValUnit="Nominal Volume (L)",D6*(('Prover Data Entry'!C59+('Prover Data Entry'!E59/1000))*(1+(VLOOKUP('Prover Data Entry'!B59,Standards_Table_B,6,FALSE))*(C6-B6))),D6*(('Prover Data Entry'!C59+('Prover Data Entry'!E59/231))*(1+(VLOOKUP('Prover Data Entry'!B59,Standards_Table_B,6,FALSE))*(C6-B6)))))</f>
      </c>
      <c r="F6" s="32">
        <v>1</v>
      </c>
      <c r="G6" s="131">
        <f>IF('Prover Data Entry'!G59="","",VLOOKUP('Prover Data Entry'!G59,Standards_Table_B,5,FALSE))</f>
      </c>
      <c r="H6" s="131">
        <f>IF('Prover Data Entry'!G59="","",IF(RefTempUnit="Designated Reference Temperature For This Calibration (ºC)",'Prover Data Entry'!I59+StdTempCorr,('Prover Data Entry'!I59+StdTempCorr)*1.8+32))</f>
      </c>
      <c r="I6" s="129">
        <f>IF('Prover Data Entry'!G59="","",ROUND((999.97495*(1-((('Prover Data Entry'!I59+StdTempCorr)-3.983035)^2*(('Prover Data Entry'!I59+StdTempCorr)+301.797))/(522528.9*(('Prover Data Entry'!I59+StdTempCorr)+69.34881))))/1000+(-4.612+0.106*('Prover Data Entry'!I59+StdTempCorr))/1000000,8))</f>
      </c>
      <c r="J6" s="132">
        <f>IF('Prover Data Entry'!G59="","",IF(NomValUnit="Nominal Volume (L)",I6*(('Prover Data Entry'!H59+('Prover Data Entry'!J59/1000))*(1+(VLOOKUP('Prover Data Entry'!G59,Standards_Table_B,6,FALSE))*(H6-G6))),I6*(('Prover Data Entry'!H59+('Prover Data Entry'!J59/231))*(1+(VLOOKUP('Prover Data Entry'!G59,Standards_Table_B,6,FALSE))*(H6-G6)))))</f>
      </c>
      <c r="K6" s="16"/>
      <c r="L6" s="16"/>
      <c r="M6" s="16"/>
      <c r="N6" s="16"/>
      <c r="O6" s="16"/>
    </row>
    <row r="7" spans="1:15" s="12" customFormat="1" ht="15.75" customHeight="1">
      <c r="A7" s="32">
        <v>2</v>
      </c>
      <c r="B7" s="131">
        <f>IF('Prover Data Entry'!B60="","",VLOOKUP('Prover Data Entry'!B60,Standards_Table_B,5,FALSE))</f>
      </c>
      <c r="C7" s="131">
        <f>IF('Prover Data Entry'!B60="","",IF(RefTempUnit="Designated Reference Temperature For This Calibration (ºC)",'Prover Data Entry'!D60+StdTempCorr,('Prover Data Entry'!D60+StdTempCorr)*1.8+32))</f>
      </c>
      <c r="D7" s="129">
        <f>IF('Prover Data Entry'!B60="","",ROUND((999.97495*(1-((('Prover Data Entry'!D60+StdTempCorr)-3.983035)^2*(('Prover Data Entry'!D60+StdTempCorr)+301.797))/(522528.9*(('Prover Data Entry'!D60+StdTempCorr)+69.34881))))/1000+(-4.612+0.106*('Prover Data Entry'!D60+StdTempCorr))/1000000,8))</f>
      </c>
      <c r="E7" s="130">
        <f>IF('Prover Data Entry'!B60="","",IF(NomValUnit="Nominal Volume (L)",D7*(('Prover Data Entry'!C60+('Prover Data Entry'!E60/1000))*(1+(VLOOKUP('Prover Data Entry'!B60,Standards_Table_B,6,FALSE))*(C7-B7))),D7*(('Prover Data Entry'!C60+('Prover Data Entry'!E60/231))*(1+(VLOOKUP('Prover Data Entry'!B60,Standards_Table_B,6,FALSE))*(C7-B7)))))</f>
      </c>
      <c r="F7" s="32">
        <v>2</v>
      </c>
      <c r="G7" s="131">
        <f>IF('Prover Data Entry'!G60="","",VLOOKUP('Prover Data Entry'!G60,Standards_Table_B,5,FALSE))</f>
      </c>
      <c r="H7" s="131">
        <f>IF('Prover Data Entry'!G60="","",IF(RefTempUnit="Designated Reference Temperature For This Calibration (ºC)",'Prover Data Entry'!I60+StdTempCorr,('Prover Data Entry'!I60+StdTempCorr)*1.8+32))</f>
      </c>
      <c r="I7" s="129">
        <f>IF('Prover Data Entry'!G60="","",ROUND((999.97495*(1-((('Prover Data Entry'!I60+StdTempCorr)-3.983035)^2*(('Prover Data Entry'!I60+StdTempCorr)+301.797))/(522528.9*(('Prover Data Entry'!I60+StdTempCorr)+69.34881))))/1000+(-4.612+0.106*('Prover Data Entry'!I60+StdTempCorr))/1000000,8))</f>
      </c>
      <c r="J7" s="132">
        <f>IF('Prover Data Entry'!G60="","",IF(NomValUnit="Nominal Volume (L)",I7*(('Prover Data Entry'!H60+('Prover Data Entry'!J60/1000))*(1+(VLOOKUP('Prover Data Entry'!G60,Standards_Table_B,6,FALSE))*(H7-G7))),I7*(('Prover Data Entry'!H60+('Prover Data Entry'!J60/231))*(1+(VLOOKUP('Prover Data Entry'!G60,Standards_Table_B,6,FALSE))*(H7-G7)))))</f>
      </c>
      <c r="K7" s="16"/>
      <c r="L7" s="16"/>
      <c r="M7" s="16"/>
      <c r="N7" s="16"/>
      <c r="O7" s="16"/>
    </row>
    <row r="8" spans="1:15" s="12" customFormat="1" ht="15.75" customHeight="1">
      <c r="A8" s="32">
        <v>3</v>
      </c>
      <c r="B8" s="131">
        <f>IF('Prover Data Entry'!B61="","",VLOOKUP('Prover Data Entry'!B61,Standards_Table_B,5,FALSE))</f>
      </c>
      <c r="C8" s="131">
        <f>IF('Prover Data Entry'!B61="","",IF(RefTempUnit="Designated Reference Temperature For This Calibration (ºC)",'Prover Data Entry'!D61+StdTempCorr,('Prover Data Entry'!D61+StdTempCorr)*1.8+32))</f>
      </c>
      <c r="D8" s="129">
        <f>IF('Prover Data Entry'!B61="","",ROUND((999.97495*(1-((('Prover Data Entry'!D61+StdTempCorr)-3.983035)^2*(('Prover Data Entry'!D61+StdTempCorr)+301.797))/(522528.9*(('Prover Data Entry'!D61+StdTempCorr)+69.34881))))/1000+(-4.612+0.106*('Prover Data Entry'!D61+StdTempCorr))/1000000,8))</f>
      </c>
      <c r="E8" s="130">
        <f>IF('Prover Data Entry'!B61="","",IF(NomValUnit="Nominal Volume (L)",D8*(('Prover Data Entry'!C61+('Prover Data Entry'!E61/1000))*(1+(VLOOKUP('Prover Data Entry'!B61,Standards_Table_B,6,FALSE))*(C8-B8))),D8*(('Prover Data Entry'!C61+('Prover Data Entry'!E61/231))*(1+(VLOOKUP('Prover Data Entry'!B61,Standards_Table_B,6,FALSE))*(C8-B8)))))</f>
      </c>
      <c r="F8" s="32">
        <v>3</v>
      </c>
      <c r="G8" s="131">
        <f>IF('Prover Data Entry'!G61="","",VLOOKUP('Prover Data Entry'!G61,Standards_Table_B,5,FALSE))</f>
      </c>
      <c r="H8" s="131">
        <f>IF('Prover Data Entry'!G61="","",IF(RefTempUnit="Designated Reference Temperature For This Calibration (ºC)",'Prover Data Entry'!I61+StdTempCorr,('Prover Data Entry'!I61+StdTempCorr)*1.8+32))</f>
      </c>
      <c r="I8" s="129">
        <f>IF('Prover Data Entry'!G61="","",ROUND((999.97495*(1-((('Prover Data Entry'!I61+StdTempCorr)-3.983035)^2*(('Prover Data Entry'!I61+StdTempCorr)+301.797))/(522528.9*(('Prover Data Entry'!I61+StdTempCorr)+69.34881))))/1000+(-4.612+0.106*('Prover Data Entry'!I61+StdTempCorr))/1000000,8))</f>
      </c>
      <c r="J8" s="132">
        <f>IF('Prover Data Entry'!G61="","",IF(NomValUnit="Nominal Volume (L)",I8*(('Prover Data Entry'!H61+('Prover Data Entry'!J61/1000))*(1+(VLOOKUP('Prover Data Entry'!G61,Standards_Table_B,6,FALSE))*(H8-G8))),I8*(('Prover Data Entry'!H61+('Prover Data Entry'!J61/231))*(1+(VLOOKUP('Prover Data Entry'!G61,Standards_Table_B,6,FALSE))*(H8-G8)))))</f>
      </c>
      <c r="K8" s="16"/>
      <c r="L8" s="16"/>
      <c r="M8" s="16"/>
      <c r="N8" s="16"/>
      <c r="O8" s="16"/>
    </row>
    <row r="9" spans="1:15" s="12" customFormat="1" ht="15.75" customHeight="1">
      <c r="A9" s="32">
        <v>4</v>
      </c>
      <c r="B9" s="131">
        <f>IF('Prover Data Entry'!B62="","",VLOOKUP('Prover Data Entry'!B62,Standards_Table_B,5,FALSE))</f>
      </c>
      <c r="C9" s="131">
        <f>IF('Prover Data Entry'!B62="","",IF(RefTempUnit="Designated Reference Temperature For This Calibration (ºC)",'Prover Data Entry'!D62+StdTempCorr,('Prover Data Entry'!D62+StdTempCorr)*1.8+32))</f>
      </c>
      <c r="D9" s="129">
        <f>IF('Prover Data Entry'!B62="","",ROUND((999.97495*(1-((('Prover Data Entry'!D62+StdTempCorr)-3.983035)^2*(('Prover Data Entry'!D62+StdTempCorr)+301.797))/(522528.9*(('Prover Data Entry'!D62+StdTempCorr)+69.34881))))/1000+(-4.612+0.106*('Prover Data Entry'!D62+StdTempCorr))/1000000,8))</f>
      </c>
      <c r="E9" s="130">
        <f>IF('Prover Data Entry'!B62="","",IF(NomValUnit="Nominal Volume (L)",D9*(('Prover Data Entry'!C62+('Prover Data Entry'!E62/1000))*(1+(VLOOKUP('Prover Data Entry'!B62,Standards_Table_B,6,FALSE))*(C9-B9))),D9*(('Prover Data Entry'!C62+('Prover Data Entry'!E62/231))*(1+(VLOOKUP('Prover Data Entry'!B62,Standards_Table_B,6,FALSE))*(C9-B9)))))</f>
      </c>
      <c r="F9" s="32">
        <v>4</v>
      </c>
      <c r="G9" s="131">
        <f>IF('Prover Data Entry'!G62="","",VLOOKUP('Prover Data Entry'!G62,Standards_Table_B,5,FALSE))</f>
      </c>
      <c r="H9" s="131">
        <f>IF('Prover Data Entry'!G62="","",IF(RefTempUnit="Designated Reference Temperature For This Calibration (ºC)",'Prover Data Entry'!I62+StdTempCorr,('Prover Data Entry'!I62+StdTempCorr)*1.8+32))</f>
      </c>
      <c r="I9" s="129">
        <f>IF('Prover Data Entry'!G62="","",ROUND((999.97495*(1-((('Prover Data Entry'!I62+StdTempCorr)-3.983035)^2*(('Prover Data Entry'!I62+StdTempCorr)+301.797))/(522528.9*(('Prover Data Entry'!I62+StdTempCorr)+69.34881))))/1000+(-4.612+0.106*('Prover Data Entry'!I62+StdTempCorr))/1000000,8))</f>
      </c>
      <c r="J9" s="132">
        <f>IF('Prover Data Entry'!G62="","",IF(NomValUnit="Nominal Volume (L)",I9*(('Prover Data Entry'!H62+('Prover Data Entry'!J62/1000))*(1+(VLOOKUP('Prover Data Entry'!G62,Standards_Table_B,6,FALSE))*(H9-G9))),I9*(('Prover Data Entry'!H62+('Prover Data Entry'!J62/231))*(1+(VLOOKUP('Prover Data Entry'!G62,Standards_Table_B,6,FALSE))*(H9-G9)))))</f>
      </c>
      <c r="K9" s="16"/>
      <c r="L9" s="16"/>
      <c r="M9" s="16"/>
      <c r="N9" s="16"/>
      <c r="O9" s="16"/>
    </row>
    <row r="10" spans="1:15" s="12" customFormat="1" ht="15.75" customHeight="1">
      <c r="A10" s="32">
        <v>5</v>
      </c>
      <c r="B10" s="131">
        <f>IF('Prover Data Entry'!B63="","",VLOOKUP('Prover Data Entry'!B63,Standards_Table_B,5,FALSE))</f>
      </c>
      <c r="C10" s="131">
        <f>IF('Prover Data Entry'!B63="","",IF(RefTempUnit="Designated Reference Temperature For This Calibration (ºC)",'Prover Data Entry'!D63+StdTempCorr,('Prover Data Entry'!D63+StdTempCorr)*1.8+32))</f>
      </c>
      <c r="D10" s="129">
        <f>IF('Prover Data Entry'!B63="","",ROUND((999.97495*(1-((('Prover Data Entry'!D63+StdTempCorr)-3.983035)^2*(('Prover Data Entry'!D63+StdTempCorr)+301.797))/(522528.9*(('Prover Data Entry'!D63+StdTempCorr)+69.34881))))/1000+(-4.612+0.106*('Prover Data Entry'!D63+StdTempCorr))/1000000,8))</f>
      </c>
      <c r="E10" s="130">
        <f>IF('Prover Data Entry'!B63="","",IF(NomValUnit="Nominal Volume (L)",D10*(('Prover Data Entry'!C63+('Prover Data Entry'!E63/1000))*(1+(VLOOKUP('Prover Data Entry'!B63,Standards_Table_B,6,FALSE))*(C10-B10))),D10*(('Prover Data Entry'!C63+('Prover Data Entry'!E63/231))*(1+(VLOOKUP('Prover Data Entry'!B63,Standards_Table_B,6,FALSE))*(C10-B10)))))</f>
      </c>
      <c r="F10" s="32">
        <v>5</v>
      </c>
      <c r="G10" s="131">
        <f>IF('Prover Data Entry'!G63="","",VLOOKUP('Prover Data Entry'!G63,Standards_Table_B,5,FALSE))</f>
      </c>
      <c r="H10" s="131">
        <f>IF('Prover Data Entry'!G63="","",IF(RefTempUnit="Designated Reference Temperature For This Calibration (ºC)",'Prover Data Entry'!I63+StdTempCorr,('Prover Data Entry'!I63+StdTempCorr)*1.8+32))</f>
      </c>
      <c r="I10" s="129">
        <f>IF('Prover Data Entry'!G63="","",ROUND((999.97495*(1-((('Prover Data Entry'!I63+StdTempCorr)-3.983035)^2*(('Prover Data Entry'!I63+StdTempCorr)+301.797))/(522528.9*(('Prover Data Entry'!I63+StdTempCorr)+69.34881))))/1000+(-4.612+0.106*('Prover Data Entry'!I63+StdTempCorr))/1000000,8))</f>
      </c>
      <c r="J10" s="132">
        <f>IF('Prover Data Entry'!G63="","",IF(NomValUnit="Nominal Volume (L)",I10*(('Prover Data Entry'!H63+('Prover Data Entry'!J63/1000))*(1+(VLOOKUP('Prover Data Entry'!G63,Standards_Table_B,6,FALSE))*(H10-G10))),I10*(('Prover Data Entry'!H63+('Prover Data Entry'!J63/231))*(1+(VLOOKUP('Prover Data Entry'!G63,Standards_Table_B,6,FALSE))*(H10-G10)))))</f>
      </c>
      <c r="K10" s="16"/>
      <c r="L10" s="16"/>
      <c r="M10" s="16"/>
      <c r="N10" s="16"/>
      <c r="O10" s="16"/>
    </row>
    <row r="11" spans="1:15" s="12" customFormat="1" ht="15.75" customHeight="1">
      <c r="A11" s="32">
        <v>6</v>
      </c>
      <c r="B11" s="131">
        <f>IF('Prover Data Entry'!B64="","",VLOOKUP('Prover Data Entry'!B64,Standards_Table_B,5,FALSE))</f>
      </c>
      <c r="C11" s="131">
        <f>IF('Prover Data Entry'!B64="","",IF(RefTempUnit="Designated Reference Temperature For This Calibration (ºC)",'Prover Data Entry'!D64+StdTempCorr,('Prover Data Entry'!D64+StdTempCorr)*1.8+32))</f>
      </c>
      <c r="D11" s="129">
        <f>IF('Prover Data Entry'!B64="","",ROUND((999.97495*(1-((('Prover Data Entry'!D64+StdTempCorr)-3.983035)^2*(('Prover Data Entry'!D64+StdTempCorr)+301.797))/(522528.9*(('Prover Data Entry'!D64+StdTempCorr)+69.34881))))/1000+(-4.612+0.106*('Prover Data Entry'!D64+StdTempCorr))/1000000,8))</f>
      </c>
      <c r="E11" s="130">
        <f>IF('Prover Data Entry'!B64="","",IF(NomValUnit="Nominal Volume (L)",D11*(('Prover Data Entry'!C64+('Prover Data Entry'!E64/1000))*(1+(VLOOKUP('Prover Data Entry'!B64,Standards_Table_B,6,FALSE))*(C11-B11))),D11*(('Prover Data Entry'!C64+('Prover Data Entry'!E64/231))*(1+(VLOOKUP('Prover Data Entry'!B64,Standards_Table_B,6,FALSE))*(C11-B11)))))</f>
      </c>
      <c r="F11" s="32">
        <v>6</v>
      </c>
      <c r="G11" s="131">
        <f>IF('Prover Data Entry'!G64="","",VLOOKUP('Prover Data Entry'!G64,Standards_Table_B,5,FALSE))</f>
      </c>
      <c r="H11" s="131">
        <f>IF('Prover Data Entry'!G64="","",IF(RefTempUnit="Designated Reference Temperature For This Calibration (ºC)",'Prover Data Entry'!I64+StdTempCorr,('Prover Data Entry'!I64+StdTempCorr)*1.8+32))</f>
      </c>
      <c r="I11" s="129">
        <f>IF('Prover Data Entry'!G64="","",ROUND((999.97495*(1-((('Prover Data Entry'!I64+StdTempCorr)-3.983035)^2*(('Prover Data Entry'!I64+StdTempCorr)+301.797))/(522528.9*(('Prover Data Entry'!I64+StdTempCorr)+69.34881))))/1000+(-4.612+0.106*('Prover Data Entry'!I64+StdTempCorr))/1000000,8))</f>
      </c>
      <c r="J11" s="132">
        <f>IF('Prover Data Entry'!G64="","",IF(NomValUnit="Nominal Volume (L)",I11*(('Prover Data Entry'!H64+('Prover Data Entry'!J64/1000))*(1+(VLOOKUP('Prover Data Entry'!G64,Standards_Table_B,6,FALSE))*(H11-G11))),I11*(('Prover Data Entry'!H64+('Prover Data Entry'!J64/231))*(1+(VLOOKUP('Prover Data Entry'!G64,Standards_Table_B,6,FALSE))*(H11-G11)))))</f>
      </c>
      <c r="K11" s="16"/>
      <c r="L11" s="16"/>
      <c r="M11" s="16"/>
      <c r="N11" s="16"/>
      <c r="O11" s="16"/>
    </row>
    <row r="12" spans="1:15" s="12" customFormat="1" ht="15.75" customHeight="1">
      <c r="A12" s="32">
        <v>7</v>
      </c>
      <c r="B12" s="131">
        <f>IF('Prover Data Entry'!B65="","",VLOOKUP('Prover Data Entry'!B65,Standards_Table_B,5,FALSE))</f>
      </c>
      <c r="C12" s="131">
        <f>IF('Prover Data Entry'!B65="","",IF(RefTempUnit="Designated Reference Temperature For This Calibration (ºC)",'Prover Data Entry'!D65+StdTempCorr,('Prover Data Entry'!D65+StdTempCorr)*1.8+32))</f>
      </c>
      <c r="D12" s="129">
        <f>IF('Prover Data Entry'!B65="","",ROUND((999.97495*(1-((('Prover Data Entry'!D65+StdTempCorr)-3.983035)^2*(('Prover Data Entry'!D65+StdTempCorr)+301.797))/(522528.9*(('Prover Data Entry'!D65+StdTempCorr)+69.34881))))/1000+(-4.612+0.106*('Prover Data Entry'!D65+StdTempCorr))/1000000,8))</f>
      </c>
      <c r="E12" s="130">
        <f>IF('Prover Data Entry'!B65="","",IF(NomValUnit="Nominal Volume (L)",D12*(('Prover Data Entry'!C65+('Prover Data Entry'!E65/1000))*(1+(VLOOKUP('Prover Data Entry'!B65,Standards_Table_B,6,FALSE))*(C12-B12))),D12*(('Prover Data Entry'!C65+('Prover Data Entry'!E65/231))*(1+(VLOOKUP('Prover Data Entry'!B65,Standards_Table_B,6,FALSE))*(C12-B12)))))</f>
      </c>
      <c r="F12" s="32">
        <v>7</v>
      </c>
      <c r="G12" s="131">
        <f>IF('Prover Data Entry'!G65="","",VLOOKUP('Prover Data Entry'!G65,Standards_Table_B,5,FALSE))</f>
      </c>
      <c r="H12" s="131">
        <f>IF('Prover Data Entry'!G65="","",IF(RefTempUnit="Designated Reference Temperature For This Calibration (ºC)",'Prover Data Entry'!I65+StdTempCorr,('Prover Data Entry'!I65+StdTempCorr)*1.8+32))</f>
      </c>
      <c r="I12" s="129">
        <f>IF('Prover Data Entry'!G65="","",ROUND((999.97495*(1-((('Prover Data Entry'!I65+StdTempCorr)-3.983035)^2*(('Prover Data Entry'!I65+StdTempCorr)+301.797))/(522528.9*(('Prover Data Entry'!I65+StdTempCorr)+69.34881))))/1000+(-4.612+0.106*('Prover Data Entry'!I65+StdTempCorr))/1000000,8))</f>
      </c>
      <c r="J12" s="132">
        <f>IF('Prover Data Entry'!G65="","",IF(NomValUnit="Nominal Volume (L)",I12*(('Prover Data Entry'!H65+('Prover Data Entry'!J65/1000))*(1+(VLOOKUP('Prover Data Entry'!G65,Standards_Table_B,6,FALSE))*(H12-G12))),I12*(('Prover Data Entry'!H65+('Prover Data Entry'!J65/231))*(1+(VLOOKUP('Prover Data Entry'!G65,Standards_Table_B,6,FALSE))*(H12-G12)))))</f>
      </c>
      <c r="K12" s="16"/>
      <c r="L12" s="16"/>
      <c r="M12" s="16"/>
      <c r="N12" s="16"/>
      <c r="O12" s="16"/>
    </row>
    <row r="13" spans="1:15" s="12" customFormat="1" ht="15.75" customHeight="1">
      <c r="A13" s="32">
        <v>8</v>
      </c>
      <c r="B13" s="131">
        <f>IF('Prover Data Entry'!B66="","",VLOOKUP('Prover Data Entry'!B66,Standards_Table_B,5,FALSE))</f>
      </c>
      <c r="C13" s="131">
        <f>IF('Prover Data Entry'!B66="","",IF(RefTempUnit="Designated Reference Temperature For This Calibration (ºC)",'Prover Data Entry'!D66+StdTempCorr,('Prover Data Entry'!D66+StdTempCorr)*1.8+32))</f>
      </c>
      <c r="D13" s="129">
        <f>IF('Prover Data Entry'!B66="","",ROUND((999.97495*(1-((('Prover Data Entry'!D66+StdTempCorr)-3.983035)^2*(('Prover Data Entry'!D66+StdTempCorr)+301.797))/(522528.9*(('Prover Data Entry'!D66+StdTempCorr)+69.34881))))/1000+(-4.612+0.106*('Prover Data Entry'!D66+StdTempCorr))/1000000,8))</f>
      </c>
      <c r="E13" s="130">
        <f>IF('Prover Data Entry'!B66="","",IF(NomValUnit="Nominal Volume (L)",D13*(('Prover Data Entry'!C66+('Prover Data Entry'!E66/1000))*(1+(VLOOKUP('Prover Data Entry'!B66,Standards_Table_B,6,FALSE))*(C13-B13))),D13*(('Prover Data Entry'!C66+('Prover Data Entry'!E66/231))*(1+(VLOOKUP('Prover Data Entry'!B66,Standards_Table_B,6,FALSE))*(C13-B13)))))</f>
      </c>
      <c r="F13" s="32">
        <v>8</v>
      </c>
      <c r="G13" s="131">
        <f>IF('Prover Data Entry'!G66="","",VLOOKUP('Prover Data Entry'!G66,Standards_Table_B,5,FALSE))</f>
      </c>
      <c r="H13" s="131">
        <f>IF('Prover Data Entry'!G66="","",IF(RefTempUnit="Designated Reference Temperature For This Calibration (ºC)",'Prover Data Entry'!I66+StdTempCorr,('Prover Data Entry'!I66+StdTempCorr)*1.8+32))</f>
      </c>
      <c r="I13" s="129">
        <f>IF('Prover Data Entry'!G66="","",ROUND((999.97495*(1-((('Prover Data Entry'!I66+StdTempCorr)-3.983035)^2*(('Prover Data Entry'!I66+StdTempCorr)+301.797))/(522528.9*(('Prover Data Entry'!I66+StdTempCorr)+69.34881))))/1000+(-4.612+0.106*('Prover Data Entry'!I66+StdTempCorr))/1000000,8))</f>
      </c>
      <c r="J13" s="132">
        <f>IF('Prover Data Entry'!G66="","",IF(NomValUnit="Nominal Volume (L)",I13*(('Prover Data Entry'!H66+('Prover Data Entry'!J66/1000))*(1+(VLOOKUP('Prover Data Entry'!G66,Standards_Table_B,6,FALSE))*(H13-G13))),I13*(('Prover Data Entry'!H66+('Prover Data Entry'!J66/231))*(1+(VLOOKUP('Prover Data Entry'!G66,Standards_Table_B,6,FALSE))*(H13-G13)))))</f>
      </c>
      <c r="K13" s="16"/>
      <c r="L13" s="16"/>
      <c r="M13" s="16"/>
      <c r="N13" s="16"/>
      <c r="O13" s="16"/>
    </row>
    <row r="14" spans="1:15" s="12" customFormat="1" ht="15.75" customHeight="1">
      <c r="A14" s="32">
        <v>9</v>
      </c>
      <c r="B14" s="131">
        <f>IF('Prover Data Entry'!B67="","",VLOOKUP('Prover Data Entry'!B67,Standards_Table_B,5,FALSE))</f>
      </c>
      <c r="C14" s="131">
        <f>IF('Prover Data Entry'!B67="","",IF(RefTempUnit="Designated Reference Temperature For This Calibration (ºC)",'Prover Data Entry'!D67+StdTempCorr,('Prover Data Entry'!D67+StdTempCorr)*1.8+32))</f>
      </c>
      <c r="D14" s="129">
        <f>IF('Prover Data Entry'!B67="","",ROUND((999.97495*(1-((('Prover Data Entry'!D67+StdTempCorr)-3.983035)^2*(('Prover Data Entry'!D67+StdTempCorr)+301.797))/(522528.9*(('Prover Data Entry'!D67+StdTempCorr)+69.34881))))/1000+(-4.612+0.106*('Prover Data Entry'!D67+StdTempCorr))/1000000,8))</f>
      </c>
      <c r="E14" s="130">
        <f>IF('Prover Data Entry'!B67="","",IF(NomValUnit="Nominal Volume (L)",D14*(('Prover Data Entry'!C67+('Prover Data Entry'!E67/1000))*(1+(VLOOKUP('Prover Data Entry'!B67,Standards_Table_B,6,FALSE))*(C14-B14))),D14*(('Prover Data Entry'!C67+('Prover Data Entry'!E67/231))*(1+(VLOOKUP('Prover Data Entry'!B67,Standards_Table_B,6,FALSE))*(C14-B14)))))</f>
      </c>
      <c r="F14" s="32">
        <v>9</v>
      </c>
      <c r="G14" s="131">
        <f>IF('Prover Data Entry'!G67="","",VLOOKUP('Prover Data Entry'!G67,Standards_Table_B,5,FALSE))</f>
      </c>
      <c r="H14" s="131">
        <f>IF('Prover Data Entry'!G67="","",IF(RefTempUnit="Designated Reference Temperature For This Calibration (ºC)",'Prover Data Entry'!I67+StdTempCorr,('Prover Data Entry'!I67+StdTempCorr)*1.8+32))</f>
      </c>
      <c r="I14" s="129">
        <f>IF('Prover Data Entry'!G67="","",ROUND((999.97495*(1-((('Prover Data Entry'!I67+StdTempCorr)-3.983035)^2*(('Prover Data Entry'!I67+StdTempCorr)+301.797))/(522528.9*(('Prover Data Entry'!I67+StdTempCorr)+69.34881))))/1000+(-4.612+0.106*('Prover Data Entry'!I67+StdTempCorr))/1000000,8))</f>
      </c>
      <c r="J14" s="132">
        <f>IF('Prover Data Entry'!G67="","",IF(NomValUnit="Nominal Volume (L)",I14*(('Prover Data Entry'!H67+('Prover Data Entry'!J67/1000))*(1+(VLOOKUP('Prover Data Entry'!G67,Standards_Table_B,6,FALSE))*(H14-G14))),I14*(('Prover Data Entry'!H67+('Prover Data Entry'!J67/231))*(1+(VLOOKUP('Prover Data Entry'!G67,Standards_Table_B,6,FALSE))*(H14-G14)))))</f>
      </c>
      <c r="K14" s="16"/>
      <c r="L14" s="16"/>
      <c r="M14" s="16"/>
      <c r="N14" s="16"/>
      <c r="O14" s="16"/>
    </row>
    <row r="15" spans="1:15" s="12" customFormat="1" ht="15.75" customHeight="1">
      <c r="A15" s="32">
        <v>10</v>
      </c>
      <c r="B15" s="131">
        <f>IF('Prover Data Entry'!B68="","",VLOOKUP('Prover Data Entry'!B68,Standards_Table_B,5,FALSE))</f>
      </c>
      <c r="C15" s="131">
        <f>IF('Prover Data Entry'!B68="","",IF(RefTempUnit="Designated Reference Temperature For This Calibration (ºC)",'Prover Data Entry'!D68+StdTempCorr,('Prover Data Entry'!D68+StdTempCorr)*1.8+32))</f>
      </c>
      <c r="D15" s="129">
        <f>IF('Prover Data Entry'!B68="","",ROUND((999.97495*(1-((('Prover Data Entry'!D68+StdTempCorr)-3.983035)^2*(('Prover Data Entry'!D68+StdTempCorr)+301.797))/(522528.9*(('Prover Data Entry'!D68+StdTempCorr)+69.34881))))/1000+(-4.612+0.106*('Prover Data Entry'!D68+StdTempCorr))/1000000,8))</f>
      </c>
      <c r="E15" s="130">
        <f>IF('Prover Data Entry'!B68="","",IF(NomValUnit="Nominal Volume (L)",D15*(('Prover Data Entry'!C68+('Prover Data Entry'!E68/1000))*(1+(VLOOKUP('Prover Data Entry'!B68,Standards_Table_B,6,FALSE))*(C15-B15))),D15*(('Prover Data Entry'!C68+('Prover Data Entry'!E68/231))*(1+(VLOOKUP('Prover Data Entry'!B68,Standards_Table_B,6,FALSE))*(C15-B15)))))</f>
      </c>
      <c r="F15" s="32">
        <v>10</v>
      </c>
      <c r="G15" s="131">
        <f>IF('Prover Data Entry'!G68="","",VLOOKUP('Prover Data Entry'!G68,Standards_Table_B,5,FALSE))</f>
      </c>
      <c r="H15" s="131">
        <f>IF('Prover Data Entry'!G68="","",IF(RefTempUnit="Designated Reference Temperature For This Calibration (ºC)",'Prover Data Entry'!I68+StdTempCorr,('Prover Data Entry'!I68+StdTempCorr)*1.8+32))</f>
      </c>
      <c r="I15" s="129">
        <f>IF('Prover Data Entry'!G68="","",ROUND((999.97495*(1-((('Prover Data Entry'!I68+StdTempCorr)-3.983035)^2*(('Prover Data Entry'!I68+StdTempCorr)+301.797))/(522528.9*(('Prover Data Entry'!I68+StdTempCorr)+69.34881))))/1000+(-4.612+0.106*('Prover Data Entry'!I68+StdTempCorr))/1000000,8))</f>
      </c>
      <c r="J15" s="132">
        <f>IF('Prover Data Entry'!G68="","",IF(NomValUnit="Nominal Volume (L)",I15*(('Prover Data Entry'!H68+('Prover Data Entry'!J68/1000))*(1+(VLOOKUP('Prover Data Entry'!G68,Standards_Table_B,6,FALSE))*(H15-G15))),I15*(('Prover Data Entry'!H68+('Prover Data Entry'!J68/231))*(1+(VLOOKUP('Prover Data Entry'!G68,Standards_Table_B,6,FALSE))*(H15-G15)))))</f>
      </c>
      <c r="K15" s="16"/>
      <c r="L15" s="16"/>
      <c r="M15" s="16"/>
      <c r="N15" s="16"/>
      <c r="O15" s="16"/>
    </row>
    <row r="16" spans="1:15" s="12" customFormat="1" ht="15.75" customHeight="1">
      <c r="A16" s="32">
        <v>11</v>
      </c>
      <c r="B16" s="131">
        <f>IF('Prover Data Entry'!B69="","",VLOOKUP('Prover Data Entry'!B69,Standards_Table_B,5,FALSE))</f>
      </c>
      <c r="C16" s="131">
        <f>IF('Prover Data Entry'!B69="","",IF(RefTempUnit="Designated Reference Temperature For This Calibration (ºC)",'Prover Data Entry'!D69+StdTempCorr,('Prover Data Entry'!D69+StdTempCorr)*1.8+32))</f>
      </c>
      <c r="D16" s="129">
        <f>IF('Prover Data Entry'!B69="","",ROUND((999.97495*(1-((('Prover Data Entry'!D69+StdTempCorr)-3.983035)^2*(('Prover Data Entry'!D69+StdTempCorr)+301.797))/(522528.9*(('Prover Data Entry'!D69+StdTempCorr)+69.34881))))/1000+(-4.612+0.106*('Prover Data Entry'!D69+StdTempCorr))/1000000,8))</f>
      </c>
      <c r="E16" s="130">
        <f>IF('Prover Data Entry'!B69="","",IF(NomValUnit="Nominal Volume (L)",D16*(('Prover Data Entry'!C69+('Prover Data Entry'!E69/1000))*(1+(VLOOKUP('Prover Data Entry'!B69,Standards_Table_B,6,FALSE))*(C16-B16))),D16*(('Prover Data Entry'!C69+('Prover Data Entry'!E69/231))*(1+(VLOOKUP('Prover Data Entry'!B69,Standards_Table_B,6,FALSE))*(C16-B16)))))</f>
      </c>
      <c r="F16" s="32">
        <v>11</v>
      </c>
      <c r="G16" s="131">
        <f>IF('Prover Data Entry'!G69="","",VLOOKUP('Prover Data Entry'!G69,Standards_Table_B,5,FALSE))</f>
      </c>
      <c r="H16" s="131">
        <f>IF('Prover Data Entry'!G69="","",IF(RefTempUnit="Designated Reference Temperature For This Calibration (ºC)",'Prover Data Entry'!I69+StdTempCorr,('Prover Data Entry'!I69+StdTempCorr)*1.8+32))</f>
      </c>
      <c r="I16" s="129">
        <f>IF('Prover Data Entry'!G69="","",ROUND((999.97495*(1-((('Prover Data Entry'!I69+StdTempCorr)-3.983035)^2*(('Prover Data Entry'!I69+StdTempCorr)+301.797))/(522528.9*(('Prover Data Entry'!I69+StdTempCorr)+69.34881))))/1000+(-4.612+0.106*('Prover Data Entry'!I69+StdTempCorr))/1000000,8))</f>
      </c>
      <c r="J16" s="132">
        <f>IF('Prover Data Entry'!G69="","",IF(NomValUnit="Nominal Volume (L)",I16*(('Prover Data Entry'!H69+('Prover Data Entry'!J69/1000))*(1+(VLOOKUP('Prover Data Entry'!G69,Standards_Table_B,6,FALSE))*(H16-G16))),I16*(('Prover Data Entry'!H69+('Prover Data Entry'!J69/231))*(1+(VLOOKUP('Prover Data Entry'!G69,Standards_Table_B,6,FALSE))*(H16-G16)))))</f>
      </c>
      <c r="K16" s="16"/>
      <c r="L16" s="16"/>
      <c r="M16" s="16"/>
      <c r="N16" s="16"/>
      <c r="O16" s="16"/>
    </row>
    <row r="17" spans="1:15" s="12" customFormat="1" ht="15.75" customHeight="1">
      <c r="A17" s="32">
        <v>12</v>
      </c>
      <c r="B17" s="131">
        <f>IF('Prover Data Entry'!B70="","",VLOOKUP('Prover Data Entry'!B70,Standards_Table_B,5,FALSE))</f>
      </c>
      <c r="C17" s="131">
        <f>IF('Prover Data Entry'!B70="","",IF(RefTempUnit="Designated Reference Temperature For This Calibration (ºC)",'Prover Data Entry'!D70+StdTempCorr,('Prover Data Entry'!D70+StdTempCorr)*1.8+32))</f>
      </c>
      <c r="D17" s="129">
        <f>IF('Prover Data Entry'!B70="","",ROUND((999.97495*(1-((('Prover Data Entry'!D70+StdTempCorr)-3.983035)^2*(('Prover Data Entry'!D70+StdTempCorr)+301.797))/(522528.9*(('Prover Data Entry'!D70+StdTempCorr)+69.34881))))/1000+(-4.612+0.106*('Prover Data Entry'!D70+StdTempCorr))/1000000,8))</f>
      </c>
      <c r="E17" s="130">
        <f>IF('Prover Data Entry'!B70="","",IF(NomValUnit="Nominal Volume (L)",D17*(('Prover Data Entry'!C70+('Prover Data Entry'!E70/1000))*(1+(VLOOKUP('Prover Data Entry'!B70,Standards_Table_B,6,FALSE))*(C17-B17))),D17*(('Prover Data Entry'!C70+('Prover Data Entry'!E70/231))*(1+(VLOOKUP('Prover Data Entry'!B70,Standards_Table_B,6,FALSE))*(C17-B17)))))</f>
      </c>
      <c r="F17" s="32">
        <v>12</v>
      </c>
      <c r="G17" s="131">
        <f>IF('Prover Data Entry'!G70="","",VLOOKUP('Prover Data Entry'!G70,Standards_Table_B,5,FALSE))</f>
      </c>
      <c r="H17" s="131">
        <f>IF('Prover Data Entry'!G70="","",IF(RefTempUnit="Designated Reference Temperature For This Calibration (ºC)",'Prover Data Entry'!I70+StdTempCorr,('Prover Data Entry'!I70+StdTempCorr)*1.8+32))</f>
      </c>
      <c r="I17" s="129">
        <f>IF('Prover Data Entry'!G70="","",ROUND((999.97495*(1-((('Prover Data Entry'!I70+StdTempCorr)-3.983035)^2*(('Prover Data Entry'!I70+StdTempCorr)+301.797))/(522528.9*(('Prover Data Entry'!I70+StdTempCorr)+69.34881))))/1000+(-4.612+0.106*('Prover Data Entry'!I70+StdTempCorr))/1000000,8))</f>
      </c>
      <c r="J17" s="132">
        <f>IF('Prover Data Entry'!G70="","",IF(NomValUnit="Nominal Volume (L)",I17*(('Prover Data Entry'!H70+('Prover Data Entry'!J70/1000))*(1+(VLOOKUP('Prover Data Entry'!G70,Standards_Table_B,6,FALSE))*(H17-G17))),I17*(('Prover Data Entry'!H70+('Prover Data Entry'!J70/231))*(1+(VLOOKUP('Prover Data Entry'!G70,Standards_Table_B,6,FALSE))*(H17-G17)))))</f>
      </c>
      <c r="K17" s="16"/>
      <c r="L17" s="16"/>
      <c r="M17" s="16"/>
      <c r="N17" s="16"/>
      <c r="O17" s="16"/>
    </row>
    <row r="18" spans="1:15" s="12" customFormat="1" ht="15.75" customHeight="1">
      <c r="A18" s="32">
        <v>13</v>
      </c>
      <c r="B18" s="131">
        <f>IF('Prover Data Entry'!B71="","",VLOOKUP('Prover Data Entry'!B71,Standards_Table_B,5,FALSE))</f>
      </c>
      <c r="C18" s="131">
        <f>IF('Prover Data Entry'!B71="","",IF(RefTempUnit="Designated Reference Temperature For This Calibration (ºC)",'Prover Data Entry'!D71+StdTempCorr,('Prover Data Entry'!D71+StdTempCorr)*1.8+32))</f>
      </c>
      <c r="D18" s="129">
        <f>IF('Prover Data Entry'!B71="","",ROUND((999.97495*(1-((('Prover Data Entry'!D71+StdTempCorr)-3.983035)^2*(('Prover Data Entry'!D71+StdTempCorr)+301.797))/(522528.9*(('Prover Data Entry'!D71+StdTempCorr)+69.34881))))/1000+(-4.612+0.106*('Prover Data Entry'!D71+StdTempCorr))/1000000,8))</f>
      </c>
      <c r="E18" s="130">
        <f>IF('Prover Data Entry'!B71="","",IF(NomValUnit="Nominal Volume (L)",D18*(('Prover Data Entry'!C71+('Prover Data Entry'!E71/1000))*(1+(VLOOKUP('Prover Data Entry'!B71,Standards_Table_B,6,FALSE))*(C18-B18))),D18*(('Prover Data Entry'!C71+('Prover Data Entry'!E71/231))*(1+(VLOOKUP('Prover Data Entry'!B71,Standards_Table_B,6,FALSE))*(C18-B18)))))</f>
      </c>
      <c r="F18" s="32">
        <v>13</v>
      </c>
      <c r="G18" s="131">
        <f>IF('Prover Data Entry'!G71="","",VLOOKUP('Prover Data Entry'!G71,Standards_Table_B,5,FALSE))</f>
      </c>
      <c r="H18" s="131">
        <f>IF('Prover Data Entry'!G71="","",IF(RefTempUnit="Designated Reference Temperature For This Calibration (ºC)",'Prover Data Entry'!I71+StdTempCorr,('Prover Data Entry'!I71+StdTempCorr)*1.8+32))</f>
      </c>
      <c r="I18" s="129">
        <f>IF('Prover Data Entry'!G71="","",ROUND((999.97495*(1-((('Prover Data Entry'!I71+StdTempCorr)-3.983035)^2*(('Prover Data Entry'!I71+StdTempCorr)+301.797))/(522528.9*(('Prover Data Entry'!I71+StdTempCorr)+69.34881))))/1000+(-4.612+0.106*('Prover Data Entry'!I71+StdTempCorr))/1000000,8))</f>
      </c>
      <c r="J18" s="132">
        <f>IF('Prover Data Entry'!G71="","",IF(NomValUnit="Nominal Volume (L)",I18*(('Prover Data Entry'!H71+('Prover Data Entry'!J71/1000))*(1+(VLOOKUP('Prover Data Entry'!G71,Standards_Table_B,6,FALSE))*(H18-G18))),I18*(('Prover Data Entry'!H71+('Prover Data Entry'!J71/231))*(1+(VLOOKUP('Prover Data Entry'!G71,Standards_Table_B,6,FALSE))*(H18-G18)))))</f>
      </c>
      <c r="K18" s="16"/>
      <c r="L18" s="16"/>
      <c r="M18" s="16"/>
      <c r="N18" s="16"/>
      <c r="O18" s="16"/>
    </row>
    <row r="19" spans="1:15" s="12" customFormat="1" ht="15.75" customHeight="1">
      <c r="A19" s="32">
        <v>14</v>
      </c>
      <c r="B19" s="131">
        <f>IF('Prover Data Entry'!B72="","",VLOOKUP('Prover Data Entry'!B72,Standards_Table_B,5,FALSE))</f>
      </c>
      <c r="C19" s="131">
        <f>IF('Prover Data Entry'!B72="","",IF(RefTempUnit="Designated Reference Temperature For This Calibration (ºC)",'Prover Data Entry'!D72+StdTempCorr,('Prover Data Entry'!D72+StdTempCorr)*1.8+32))</f>
      </c>
      <c r="D19" s="129">
        <f>IF('Prover Data Entry'!B72="","",ROUND((999.97495*(1-((('Prover Data Entry'!D72+StdTempCorr)-3.983035)^2*(('Prover Data Entry'!D72+StdTempCorr)+301.797))/(522528.9*(('Prover Data Entry'!D72+StdTempCorr)+69.34881))))/1000+(-4.612+0.106*('Prover Data Entry'!D72+StdTempCorr))/1000000,8))</f>
      </c>
      <c r="E19" s="130">
        <f>IF('Prover Data Entry'!B72="","",IF(NomValUnit="Nominal Volume (L)",D19*(('Prover Data Entry'!C72+('Prover Data Entry'!E72/1000))*(1+(VLOOKUP('Prover Data Entry'!B72,Standards_Table_B,6,FALSE))*(C19-B19))),D19*(('Prover Data Entry'!C72+('Prover Data Entry'!E72/231))*(1+(VLOOKUP('Prover Data Entry'!B72,Standards_Table_B,6,FALSE))*(C19-B19)))))</f>
      </c>
      <c r="F19" s="32">
        <v>14</v>
      </c>
      <c r="G19" s="131">
        <f>IF('Prover Data Entry'!G72="","",VLOOKUP('Prover Data Entry'!G72,Standards_Table_B,5,FALSE))</f>
      </c>
      <c r="H19" s="131">
        <f>IF('Prover Data Entry'!G72="","",IF(RefTempUnit="Designated Reference Temperature For This Calibration (ºC)",'Prover Data Entry'!I72+StdTempCorr,('Prover Data Entry'!I72+StdTempCorr)*1.8+32))</f>
      </c>
      <c r="I19" s="129">
        <f>IF('Prover Data Entry'!G72="","",ROUND((999.97495*(1-((('Prover Data Entry'!I72+StdTempCorr)-3.983035)^2*(('Prover Data Entry'!I72+StdTempCorr)+301.797))/(522528.9*(('Prover Data Entry'!I72+StdTempCorr)+69.34881))))/1000+(-4.612+0.106*('Prover Data Entry'!I72+StdTempCorr))/1000000,8))</f>
      </c>
      <c r="J19" s="132">
        <f>IF('Prover Data Entry'!G72="","",IF(NomValUnit="Nominal Volume (L)",I19*(('Prover Data Entry'!H72+('Prover Data Entry'!J72/1000))*(1+(VLOOKUP('Prover Data Entry'!G72,Standards_Table_B,6,FALSE))*(H19-G19))),I19*(('Prover Data Entry'!H72+('Prover Data Entry'!J72/231))*(1+(VLOOKUP('Prover Data Entry'!G72,Standards_Table_B,6,FALSE))*(H19-G19)))))</f>
      </c>
      <c r="K19" s="16"/>
      <c r="L19" s="16"/>
      <c r="M19" s="16"/>
      <c r="N19" s="16"/>
      <c r="O19" s="16"/>
    </row>
    <row r="20" spans="1:15" s="12" customFormat="1" ht="15.75" customHeight="1">
      <c r="A20" s="108">
        <v>15</v>
      </c>
      <c r="B20" s="131">
        <f>IF('Prover Data Entry'!B73="","",VLOOKUP('Prover Data Entry'!B73,Standards_Table_B,5,FALSE))</f>
      </c>
      <c r="C20" s="131">
        <f>IF('Prover Data Entry'!B73="","",IF(RefTempUnit="Designated Reference Temperature For This Calibration (ºC)",'Prover Data Entry'!D73+StdTempCorr,('Prover Data Entry'!D73+StdTempCorr)*1.8+32))</f>
      </c>
      <c r="D20" s="129">
        <f>IF('Prover Data Entry'!B73="","",ROUND((999.97495*(1-((('Prover Data Entry'!D73+StdTempCorr)-3.983035)^2*(('Prover Data Entry'!D73+StdTempCorr)+301.797))/(522528.9*(('Prover Data Entry'!D73+StdTempCorr)+69.34881))))/1000+(-4.612+0.106*('Prover Data Entry'!D73+StdTempCorr))/1000000,8))</f>
      </c>
      <c r="E20" s="130">
        <f>IF('Prover Data Entry'!B73="","",IF(NomValUnit="Nominal Volume (L)",D20*(('Prover Data Entry'!C73+('Prover Data Entry'!E73/1000))*(1+(VLOOKUP('Prover Data Entry'!B73,Standards_Table_B,6,FALSE))*(C20-B20))),D20*(('Prover Data Entry'!C73+('Prover Data Entry'!E73/231))*(1+(VLOOKUP('Prover Data Entry'!B73,Standards_Table_B,6,FALSE))*(C20-B20)))))</f>
      </c>
      <c r="F20" s="108">
        <v>15</v>
      </c>
      <c r="G20" s="131">
        <f>IF('Prover Data Entry'!G73="","",VLOOKUP('Prover Data Entry'!G73,Standards_Table_B,5,FALSE))</f>
      </c>
      <c r="H20" s="131">
        <f>IF('Prover Data Entry'!G73="","",IF(RefTempUnit="Designated Reference Temperature For This Calibration (ºC)",'Prover Data Entry'!I73+StdTempCorr,('Prover Data Entry'!I73+StdTempCorr)*1.8+32))</f>
      </c>
      <c r="I20" s="129">
        <f>IF('Prover Data Entry'!G73="","",ROUND((999.97495*(1-((('Prover Data Entry'!I73+StdTempCorr)-3.983035)^2*(('Prover Data Entry'!I73+StdTempCorr)+301.797))/(522528.9*(('Prover Data Entry'!I73+StdTempCorr)+69.34881))))/1000+(-4.612+0.106*('Prover Data Entry'!I73+StdTempCorr))/1000000,8))</f>
      </c>
      <c r="J20" s="132">
        <f>IF('Prover Data Entry'!G73="","",IF(NomValUnit="Nominal Volume (L)",I20*(('Prover Data Entry'!H73+('Prover Data Entry'!J73/1000))*(1+(VLOOKUP('Prover Data Entry'!G73,Standards_Table_B,6,FALSE))*(H20-G20))),I20*(('Prover Data Entry'!H73+('Prover Data Entry'!J73/231))*(1+(VLOOKUP('Prover Data Entry'!G73,Standards_Table_B,6,FALSE))*(H20-G20)))))</f>
      </c>
      <c r="K20" s="16"/>
      <c r="L20" s="16"/>
      <c r="M20" s="16"/>
      <c r="N20" s="16"/>
      <c r="O20" s="16"/>
    </row>
    <row r="21" spans="1:15" s="12" customFormat="1" ht="16.5" customHeight="1" thickBot="1">
      <c r="A21" s="798" t="str">
        <f>IF(NomValUnit="Nominal Volume (L)","Trial 1 Delivered Volume (L) =","Trial 1 Delivered Volume (gal) =")</f>
        <v>Trial 1 Delivered Volume (gal) =</v>
      </c>
      <c r="B21" s="799"/>
      <c r="C21" s="799"/>
      <c r="D21" s="799"/>
      <c r="E21" s="109">
        <f>IF(t_1="","",SUM(E6:E20))</f>
      </c>
      <c r="F21" s="798" t="str">
        <f>IF(NomValUnit="Nominal Volume (L)","Trial 2 Delivered Volume (L) =","Trial 2 Delivered Volume (gal) =")</f>
        <v>Trial 2 Delivered Volume (gal) =</v>
      </c>
      <c r="G21" s="799"/>
      <c r="H21" s="799"/>
      <c r="I21" s="799"/>
      <c r="J21" s="125">
        <f>IF(t_2="","",SUM(J6:J20))</f>
      </c>
      <c r="K21" s="16"/>
      <c r="L21" s="16"/>
      <c r="M21" s="16"/>
      <c r="N21" s="16"/>
      <c r="O21" s="16"/>
    </row>
    <row r="22" spans="1:15" s="12" customFormat="1" ht="16.5" customHeight="1">
      <c r="A22" s="794" t="s">
        <v>79</v>
      </c>
      <c r="B22" s="794"/>
      <c r="C22" s="794"/>
      <c r="D22" s="794"/>
      <c r="E22" s="794"/>
      <c r="F22" s="794" t="s">
        <v>80</v>
      </c>
      <c r="G22" s="794"/>
      <c r="H22" s="794"/>
      <c r="I22" s="794"/>
      <c r="J22" s="794"/>
      <c r="K22" s="16"/>
      <c r="L22" s="16"/>
      <c r="M22" s="16"/>
      <c r="N22" s="16"/>
      <c r="O22" s="16"/>
    </row>
    <row r="23" spans="1:15" s="12" customFormat="1" ht="16.5" customHeight="1">
      <c r="A23" s="779" t="s">
        <v>81</v>
      </c>
      <c r="B23" s="780"/>
      <c r="C23" s="781"/>
      <c r="D23" s="782">
        <f>IF(t_1="","",ROUND((999.97495*(1-((('Prover Data Entry'!E81+ProverTempCorr)-3.983035)^2*(('Prover Data Entry'!E81+ProverTempCorr)+301.797))/(522528.9*(('Prover Data Entry'!E81+ProverTempCorr)+69.34881))))/1000+(-4.612+0.106*('Prover Data Entry'!E81+ProverTempCorr))/1000000,8))</f>
      </c>
      <c r="E23" s="782"/>
      <c r="F23" s="779" t="s">
        <v>81</v>
      </c>
      <c r="G23" s="780"/>
      <c r="H23" s="780"/>
      <c r="I23" s="782">
        <f>IF(t_2="","",ROUND((999.97495*(1-((('Prover Data Entry'!J81+ProverTempCorr)-3.983035)^2*(('Prover Data Entry'!J81+ProverTempCorr)+301.797))/(522528.9*(('Prover Data Entry'!J81+ProverTempCorr)+69.34881))))/1000+(-4.612+0.106*('Prover Data Entry'!J81+ProverTempCorr))/1000000,8))</f>
      </c>
      <c r="J23" s="785"/>
      <c r="K23" s="16"/>
      <c r="L23" s="16"/>
      <c r="M23" s="16"/>
      <c r="N23" s="16"/>
      <c r="O23" s="16"/>
    </row>
    <row r="24" spans="1:15" s="12" customFormat="1" ht="16.5" customHeight="1">
      <c r="A24" s="789" t="str">
        <f>IF(RefTempUnit="Designated Reference Temperature For This Calibration (ºC)","Water Temperature (ºC) =","Water Temperature (ºF) =")</f>
        <v>Water Temperature (ºF) =</v>
      </c>
      <c r="B24" s="790"/>
      <c r="C24" s="790"/>
      <c r="D24" s="791">
        <f>IF(t_1="","",IF(RefTempUnit="Designated Reference Temperature For This Calibration (ºC)",t_1+ProverTempCorr,(t_1+ProverTempCorr)*1.8+32))</f>
      </c>
      <c r="E24" s="791"/>
      <c r="F24" s="789" t="str">
        <f>IF(RefTempUnit="Designated Reference Temperature For This Calibration (ºC)","Water Temperature (ºC) =","Water Temperature (ºF) =")</f>
        <v>Water Temperature (ºF) =</v>
      </c>
      <c r="G24" s="790"/>
      <c r="H24" s="790"/>
      <c r="I24" s="791">
        <f>IF(t_2="","",IF(RefTempUnit="Designated Reference Temperature For This Calibration (ºC)",t_2+ProverTempCorr,(t_2+ProverTempCorr)*1.8+32))</f>
      </c>
      <c r="J24" s="792"/>
      <c r="K24" s="16"/>
      <c r="L24" s="16"/>
      <c r="M24" s="16"/>
      <c r="N24" s="16"/>
      <c r="O24" s="16"/>
    </row>
    <row r="25" spans="3:15" s="12" customFormat="1" ht="12" customHeight="1">
      <c r="C25" s="10"/>
      <c r="D25" s="11"/>
      <c r="I25" s="16"/>
      <c r="J25" s="16"/>
      <c r="K25" s="16"/>
      <c r="L25" s="16"/>
      <c r="M25" s="16"/>
      <c r="N25" s="16"/>
      <c r="O25" s="16"/>
    </row>
    <row r="26" spans="1:19" s="6" customFormat="1" ht="16.5" customHeight="1" thickBot="1">
      <c r="A26" s="35" t="s">
        <v>167</v>
      </c>
      <c r="B26" s="43"/>
      <c r="C26" s="1"/>
      <c r="D26" s="9"/>
      <c r="E26" s="5"/>
      <c r="F26" s="13"/>
      <c r="G26" s="13"/>
      <c r="H26" s="5"/>
      <c r="I26" s="26"/>
      <c r="J26" s="26"/>
      <c r="K26"/>
      <c r="L26"/>
      <c r="M26"/>
      <c r="N26"/>
      <c r="O26"/>
      <c r="P26"/>
      <c r="Q26"/>
      <c r="R26"/>
      <c r="S26"/>
    </row>
    <row r="27" spans="1:19" ht="16.5" customHeight="1">
      <c r="A27" s="41"/>
      <c r="B27" s="41"/>
      <c r="D27" s="133" t="s">
        <v>165</v>
      </c>
      <c r="E27" s="786">
        <f>IF(E21="","",E21/(D23*(1+B*(D24-RefT))))</f>
      </c>
      <c r="F27" s="786"/>
      <c r="G27" s="49">
        <f>IF(Nom_Val="","",IF(AND(RefTempUnit="Designated Reference Temperature For This Calibration (ºC)",NomValUnit="Nominal Volume (L)"),"L @ "&amp;RefT&amp;" ºC",IF(AND(RefTempUnit="Designated Reference Temperature For This Calibration (ºF)",NomValUnit="Nominal Volume (L)"),"L @ "&amp;RefT&amp;" ºF",IF(AND(RefTempUnit="Designated Reference Temperature For This Calibration (ºC)",NomValUnit="Nominal Volume (gal)"),"gal @ "&amp;RefT&amp;" ºC",IF(AND(RefTempUnit="Designated Reference Temperature For This Calibration (ºF)",NomValUnit="Nominal Volume (gal)"),"gal @ "&amp;RefT&amp;" ºF")))))</f>
      </c>
      <c r="K27"/>
      <c r="L27"/>
      <c r="M27"/>
      <c r="N27"/>
      <c r="O27"/>
      <c r="P27"/>
      <c r="Q27"/>
      <c r="R27"/>
      <c r="S27"/>
    </row>
    <row r="28" spans="1:19" ht="16.5" customHeight="1">
      <c r="A28" s="134"/>
      <c r="B28" s="134"/>
      <c r="C28" s="135"/>
      <c r="D28" s="136" t="s">
        <v>166</v>
      </c>
      <c r="E28" s="787">
        <f>IF(J21="","",J21/(I23*(1+B*(I24-RefT))))</f>
      </c>
      <c r="F28" s="787"/>
      <c r="G28" s="137">
        <f>IF(Nom_Val="","",IF(AND(RefTempUnit="Designated Reference Temperature For This Calibration (ºC)",NomValUnit="Nominal Volume (L)"),"L @ "&amp;RefT&amp;" ºC",IF(AND(RefTempUnit="Designated Reference Temperature For This Calibration (ºF)",NomValUnit="Nominal Volume (L)"),"L @ "&amp;RefT&amp;" ºF",IF(AND(RefTempUnit="Designated Reference Temperature For This Calibration (ºC)",NomValUnit="Nominal Volume (gal)"),"gal @ "&amp;RefT&amp;" ºC",IF(AND(RefTempUnit="Designated Reference Temperature For This Calibration (ºF)",NomValUnit="Nominal Volume (gal)"),"gal @ "&amp;RefT&amp;" ºF")))))</f>
      </c>
      <c r="H28" s="135"/>
      <c r="I28" s="138"/>
      <c r="J28" s="139"/>
      <c r="K28"/>
      <c r="L28"/>
      <c r="M28"/>
      <c r="N28"/>
      <c r="O28"/>
      <c r="P28"/>
      <c r="Q28"/>
      <c r="R28"/>
      <c r="S28"/>
    </row>
    <row r="29" spans="1:19" ht="16.5" customHeight="1">
      <c r="A29" s="54"/>
      <c r="B29" s="54"/>
      <c r="D29" s="29" t="s">
        <v>138</v>
      </c>
      <c r="E29" s="776">
        <f>IF(E27="","",IF(OR(Scale_Unit="Scale Graduations (gal)",Scale_Unit="Scale Graduations (L)"),E27-'Prover Data Entry'!E77,IF(Scale_Unit="Scale Graduations (mL)",E27-'Prover Data Entry'!E77/1000,E27-'Prover Data Entry'!E77/231)))</f>
      </c>
      <c r="F29" s="776"/>
      <c r="G29" s="50">
        <f>IF(Nom_Val="","",IF(AND(RefTempUnit="Designated Reference Temperature For This Calibration (ºC)",NomValUnit="Nominal Volume (L)"),"L @ "&amp;RefT&amp;" ºC",IF(AND(RefTempUnit="Designated Reference Temperature For This Calibration (ºF)",NomValUnit="Nominal Volume (L)"),"L @ "&amp;RefT&amp;" ºF",IF(AND(RefTempUnit="Designated Reference Temperature For This Calibration (ºC)",NomValUnit="Nominal Volume (gal)"),"gal @ "&amp;RefT&amp;" ºC",IF(AND(RefTempUnit="Designated Reference Temperature For This Calibration (ºF)",NomValUnit="Nominal Volume (gal)"),"gal @ "&amp;RefT&amp;" ºF")))))</f>
      </c>
      <c r="K29"/>
      <c r="L29"/>
      <c r="M29"/>
      <c r="N29"/>
      <c r="O29"/>
      <c r="P29"/>
      <c r="Q29"/>
      <c r="R29"/>
      <c r="S29"/>
    </row>
    <row r="30" spans="1:19" ht="16.5" customHeight="1">
      <c r="A30" s="54"/>
      <c r="B30" s="54"/>
      <c r="D30" s="29" t="s">
        <v>139</v>
      </c>
      <c r="E30" s="776">
        <f>IF(E28="","",IF(OR(Scale_Unit="Scale Graduations (gal)",Scale_Unit="Scale Graduations (L)"),E28-'Prover Data Entry'!J77,IF(Scale_Unit="Scale Graduations (mL)",E28-'Prover Data Entry'!J77/1000,E28-'Prover Data Entry'!J77/231)))</f>
      </c>
      <c r="F30" s="776"/>
      <c r="G30" s="50">
        <f>IF(Nom_Val="","",IF(AND(RefTempUnit="Designated Reference Temperature For This Calibration (ºC)",NomValUnit="Nominal Volume (L)"),"L @ "&amp;RefT&amp;" ºC",IF(AND(RefTempUnit="Designated Reference Temperature For This Calibration (ºF)",NomValUnit="Nominal Volume (L)"),"L @ "&amp;RefT&amp;" ºF",IF(AND(RefTempUnit="Designated Reference Temperature For This Calibration (ºC)",NomValUnit="Nominal Volume (gal)"),"gal @ "&amp;RefT&amp;" ºC",IF(AND(RefTempUnit="Designated Reference Temperature For This Calibration (ºF)",NomValUnit="Nominal Volume (gal)"),"gal @ "&amp;RefT&amp;" ºF")))))</f>
      </c>
      <c r="K30"/>
      <c r="L30"/>
      <c r="M30"/>
      <c r="N30"/>
      <c r="O30"/>
      <c r="P30"/>
      <c r="Q30"/>
      <c r="R30"/>
      <c r="S30"/>
    </row>
    <row r="31" spans="6:19" ht="12" customHeight="1">
      <c r="F31" s="7"/>
      <c r="G31" s="7"/>
      <c r="H31" s="3"/>
      <c r="I31"/>
      <c r="J31"/>
      <c r="K31"/>
      <c r="L31"/>
      <c r="M31"/>
      <c r="N31"/>
      <c r="O31"/>
      <c r="P31"/>
      <c r="Q31"/>
      <c r="R31"/>
      <c r="S31"/>
    </row>
    <row r="32" spans="1:19" ht="25.5" customHeight="1" thickBot="1">
      <c r="A32" s="34" t="s">
        <v>168</v>
      </c>
      <c r="B32" s="34"/>
      <c r="C32" s="1"/>
      <c r="D32" s="9"/>
      <c r="E32" s="5"/>
      <c r="F32" s="13"/>
      <c r="G32" s="13"/>
      <c r="H32" s="5"/>
      <c r="I32" s="26"/>
      <c r="J32" s="26"/>
      <c r="K32"/>
      <c r="L32"/>
      <c r="M32"/>
      <c r="N32"/>
      <c r="O32"/>
      <c r="P32"/>
      <c r="Q32"/>
      <c r="R32"/>
      <c r="S32"/>
    </row>
    <row r="33" spans="1:19" ht="18">
      <c r="A33" s="51"/>
      <c r="B33" s="51"/>
      <c r="D33" s="33" t="s">
        <v>64</v>
      </c>
      <c r="E33" s="786">
        <f>IF(Z60_2="","",IF(Scale_Unit="Scale Graduations (in³)",Z60_2-Nom_Val*'Water Compressability'!C51-'Prover Data Entry'!J87/231+Nom_Val,IF(Scale_Unit="Scale Graduations (mL)",Z60_2-Nom_Val*'Water Compressability'!C51-'Prover Data Entry'!J87/1000+Nom_Val,Z60_2-Nom_Val*'Water Compressability'!C51-'Prover Data Entry'!J87+Nom_Val)))</f>
      </c>
      <c r="F33" s="786"/>
      <c r="G33" s="49">
        <f>IF(Nom_Val="","",IF(AND(RefTempUnit="Designated Reference Temperature For This Calibration (ºC)",NomValUnit="Nominal Volume (L)"),"L @ "&amp;RefT&amp;" ºC and 100 psig",IF(AND(RefTempUnit="Designated Reference Temperature For This Calibration (ºF)",NomValUnit="Nominal Volume (L)"),"L @ "&amp;RefT&amp;" ºF and 100 psig",IF(AND(RefTempUnit="Designated Reference Temperature For This Calibration (ºC)",NomValUnit="Nominal Volume (gal)"),"gal @ "&amp;RefT&amp;" ºC and 100 psig",IF(AND(RefTempUnit="Designated Reference Temperature For This Calibration (ºF)",NomValUnit="Nominal Volume (gal)"),"gal @ "&amp;RefT&amp;" ºF and 100 psig")))))</f>
      </c>
      <c r="H33" s="52"/>
      <c r="I33" s="53"/>
      <c r="J33" s="53"/>
      <c r="K33"/>
      <c r="L33"/>
      <c r="M33"/>
      <c r="N33"/>
      <c r="O33"/>
      <c r="P33"/>
      <c r="Q33"/>
      <c r="R33"/>
      <c r="S33"/>
    </row>
    <row r="34" spans="4:19" ht="16.5" customHeight="1">
      <c r="D34" s="33" t="s">
        <v>65</v>
      </c>
      <c r="E34" s="776">
        <f>IF(Z60_2="","",IF(Scale_Unit="Scale Graduations (in³)",Z60_2-Nom_Val*'Water Compressability'!C51-'Prover Data Entry'!J96/231+Nom_Val,IF(Scale_Unit="Scale Graduations (mL)",Z60_2-Nom_Val*'Water Compressability'!C51-'Prover Data Entry'!J96/1000+Nom_Val,Z60_2-Nom_Val*'Water Compressability'!C51-'Prover Data Entry'!J96+Nom_Val)))</f>
      </c>
      <c r="F34" s="776"/>
      <c r="G34" s="50">
        <f>IF(Nom_Val="","",IF(AND(RefTempUnit="Designated Reference Temperature For This Calibration (ºC)",NomValUnit="Nominal Volume (L)"),"L @ "&amp;RefT&amp;" ºC and 100 psig",IF(AND(RefTempUnit="Designated Reference Temperature For This Calibration (ºF)",NomValUnit="Nominal Volume (L)"),"L @ "&amp;RefT&amp;" ºF and 100 psig",IF(AND(RefTempUnit="Designated Reference Temperature For This Calibration (ºC)",NomValUnit="Nominal Volume (gal)"),"gal @ "&amp;RefT&amp;" ºC and 100 psig",IF(AND(RefTempUnit="Designated Reference Temperature For This Calibration (ºF)",NomValUnit="Nominal Volume (gal)"),"gal @ "&amp;RefT&amp;" ºF and 100 psig")))))</f>
      </c>
      <c r="H34" s="3"/>
      <c r="I34"/>
      <c r="J34"/>
      <c r="K34"/>
      <c r="L34"/>
      <c r="M34"/>
      <c r="N34"/>
      <c r="O34"/>
      <c r="P34"/>
      <c r="Q34"/>
      <c r="R34"/>
      <c r="S34"/>
    </row>
    <row r="35" spans="6:19" ht="12" customHeight="1">
      <c r="F35" s="7"/>
      <c r="G35" s="7"/>
      <c r="H35" s="3"/>
      <c r="I35"/>
      <c r="J35"/>
      <c r="K35"/>
      <c r="L35"/>
      <c r="M35"/>
      <c r="N35"/>
      <c r="O35"/>
      <c r="P35"/>
      <c r="Q35"/>
      <c r="R35"/>
      <c r="S35"/>
    </row>
    <row r="36" spans="1:15" ht="19.5" customHeight="1" thickBot="1">
      <c r="A36" s="110" t="s">
        <v>147</v>
      </c>
      <c r="B36" s="110"/>
      <c r="C36" s="110"/>
      <c r="D36" s="110"/>
      <c r="E36" s="110"/>
      <c r="F36" s="110"/>
      <c r="G36" s="110"/>
      <c r="H36" s="110"/>
      <c r="I36" s="110"/>
      <c r="J36" s="110"/>
      <c r="K36" s="2"/>
      <c r="L36" s="2"/>
      <c r="M36" s="2"/>
      <c r="N36" s="2"/>
      <c r="O36" s="2"/>
    </row>
    <row r="37" spans="1:15" ht="35.25" customHeight="1">
      <c r="A37" s="774" t="s">
        <v>318</v>
      </c>
      <c r="B37" s="774"/>
      <c r="C37" s="774"/>
      <c r="D37" s="774"/>
      <c r="E37" s="774"/>
      <c r="F37" s="774"/>
      <c r="G37" s="774"/>
      <c r="H37" s="774"/>
      <c r="I37" s="774"/>
      <c r="J37" s="774"/>
      <c r="K37" s="2"/>
      <c r="L37" s="2"/>
      <c r="M37" s="2"/>
      <c r="N37" s="2"/>
      <c r="O37" s="2"/>
    </row>
    <row r="38" spans="4:15" ht="19.5" customHeight="1">
      <c r="D38" s="111" t="s">
        <v>150</v>
      </c>
      <c r="E38" s="775">
        <f>IF(E34="","",0.2%*E34)</f>
      </c>
      <c r="F38" s="775"/>
      <c r="G38" s="42">
        <f>IF(Nom_Val="","",IF(NomValUnit="Nominal Volume (L)","L","gal"))</f>
      </c>
      <c r="H38" s="784">
        <f>IF(OR(E38="",E38="N/A"),"",IF(E39&lt;E38,"Uncertainty Meets Criteria.","Uncertainty Fails Criteria, Re-evaluate or Use Different Calibration Method."))</f>
      </c>
      <c r="I38" s="784"/>
      <c r="J38" s="784"/>
      <c r="K38" s="2"/>
      <c r="L38" s="2"/>
      <c r="M38" s="2"/>
      <c r="N38" s="2"/>
      <c r="O38" s="2"/>
    </row>
    <row r="39" spans="1:15" ht="19.5" customHeight="1">
      <c r="A39" s="42"/>
      <c r="B39" s="42"/>
      <c r="D39" s="111" t="s">
        <v>148</v>
      </c>
      <c r="E39" s="775">
        <f>Final_U</f>
      </c>
      <c r="F39" s="775"/>
      <c r="G39" s="42">
        <f>IF(Nom_Val="","",IF(NomValUnit="Nominal Volume (L)","L","gal"))</f>
      </c>
      <c r="H39" s="784"/>
      <c r="I39" s="784"/>
      <c r="J39" s="784"/>
      <c r="K39" s="2"/>
      <c r="L39" s="2"/>
      <c r="M39" s="2"/>
      <c r="N39" s="2"/>
      <c r="O39" s="2"/>
    </row>
    <row r="40" spans="1:15" ht="12" customHeight="1">
      <c r="A40" s="42"/>
      <c r="B40" s="42"/>
      <c r="C40" s="111"/>
      <c r="D40" s="112"/>
      <c r="E40" s="112"/>
      <c r="F40" s="42"/>
      <c r="G40" s="42"/>
      <c r="H40" s="113"/>
      <c r="I40" s="41"/>
      <c r="J40" s="41"/>
      <c r="K40" s="2"/>
      <c r="L40" s="2"/>
      <c r="M40" s="2"/>
      <c r="N40" s="2"/>
      <c r="O40" s="2"/>
    </row>
    <row r="41" spans="1:15" ht="19.5" customHeight="1" thickBot="1">
      <c r="A41" s="110" t="s">
        <v>149</v>
      </c>
      <c r="B41" s="110"/>
      <c r="C41" s="110"/>
      <c r="D41" s="110"/>
      <c r="E41" s="110"/>
      <c r="F41" s="110"/>
      <c r="G41" s="110"/>
      <c r="H41" s="110"/>
      <c r="I41" s="110"/>
      <c r="J41" s="110"/>
      <c r="K41" s="2"/>
      <c r="L41" s="2"/>
      <c r="M41" s="2"/>
      <c r="N41" s="2"/>
      <c r="O41" s="2"/>
    </row>
    <row r="42" spans="1:15" ht="35.25" customHeight="1">
      <c r="A42" s="774" t="s">
        <v>513</v>
      </c>
      <c r="B42" s="774"/>
      <c r="C42" s="774"/>
      <c r="D42" s="774"/>
      <c r="E42" s="774"/>
      <c r="F42" s="774"/>
      <c r="G42" s="774"/>
      <c r="H42" s="774"/>
      <c r="I42" s="774"/>
      <c r="J42" s="774"/>
      <c r="K42" s="2"/>
      <c r="L42" s="2"/>
      <c r="M42" s="2"/>
      <c r="N42" s="2"/>
      <c r="O42" s="2"/>
    </row>
    <row r="43" spans="1:15" ht="19.5" customHeight="1">
      <c r="A43" s="42"/>
      <c r="B43" s="42"/>
      <c r="D43" s="111" t="s">
        <v>175</v>
      </c>
      <c r="E43" s="775">
        <f>IF(Nom_Val="","",Nom_Val*0.2%)</f>
      </c>
      <c r="F43" s="775"/>
      <c r="G43" s="42">
        <f>IF(Nom_Val="","",IF(NomValUnit="Nominal Volume (L)","L","gal"))</f>
      </c>
      <c r="I43" s="2"/>
      <c r="J43" s="2"/>
      <c r="K43" s="2"/>
      <c r="L43" s="2"/>
      <c r="M43" s="2"/>
      <c r="N43" s="2"/>
      <c r="O43" s="2"/>
    </row>
    <row r="44" spans="1:15" ht="19.5" customHeight="1">
      <c r="A44" s="42"/>
      <c r="B44" s="42"/>
      <c r="D44" s="111" t="s">
        <v>153</v>
      </c>
      <c r="E44" s="775">
        <f>IF(E33="","",E33-Nom_Val)</f>
      </c>
      <c r="F44" s="775"/>
      <c r="G44" s="42">
        <f>IF(Nom_Val="","",IF(NomValUnit="Nominal Volume (L)","L","gal"))</f>
      </c>
      <c r="H44" s="773">
        <f>IF(E44="","",IF(ABS(E44)+Unc&lt;=E43,"Artifact Found Within Tolerence.","Artifact Found Out-Of-Tolerance."))</f>
      </c>
      <c r="I44" s="773"/>
      <c r="J44" s="773"/>
      <c r="K44" s="2"/>
      <c r="L44" s="2"/>
      <c r="M44" s="2"/>
      <c r="N44" s="2"/>
      <c r="O44" s="2"/>
    </row>
    <row r="45" spans="1:15" ht="19.5" customHeight="1">
      <c r="A45" s="42"/>
      <c r="B45" s="42"/>
      <c r="D45" s="111" t="s">
        <v>154</v>
      </c>
      <c r="E45" s="775">
        <f>IF(E34="","",E34-Nom_Val)</f>
      </c>
      <c r="F45" s="775"/>
      <c r="G45" s="42">
        <f>IF(Nom_Val="","",IF(NomValUnit="Nominal Volume (L)","L","gal"))</f>
      </c>
      <c r="H45" s="773">
        <f>IF(E45="","",IF(ABS(E45)+Unc&lt;=E43,"Artifact Left Within Tolerence.","Artifact Left Out-Of-Tolerance."))</f>
      </c>
      <c r="I45" s="773"/>
      <c r="J45" s="773"/>
      <c r="K45" s="2"/>
      <c r="L45" s="2"/>
      <c r="M45" s="2"/>
      <c r="N45" s="2"/>
      <c r="O45" s="2"/>
    </row>
    <row r="46" spans="9:15" ht="12" customHeight="1">
      <c r="I46" s="2"/>
      <c r="J46" s="2"/>
      <c r="K46" s="2"/>
      <c r="L46" s="2"/>
      <c r="M46" s="2"/>
      <c r="N46" s="2"/>
      <c r="O46" s="2"/>
    </row>
    <row r="47" spans="1:19" ht="16.5" customHeight="1" thickBot="1">
      <c r="A47" s="35" t="s">
        <v>220</v>
      </c>
      <c r="B47" s="35"/>
      <c r="C47" s="36"/>
      <c r="D47" s="37"/>
      <c r="E47" s="38"/>
      <c r="F47" s="39"/>
      <c r="G47" s="39"/>
      <c r="H47" s="38"/>
      <c r="I47" s="40"/>
      <c r="J47" s="40"/>
      <c r="K47"/>
      <c r="L47"/>
      <c r="M47"/>
      <c r="N47"/>
      <c r="O47"/>
      <c r="P47"/>
      <c r="Q47"/>
      <c r="R47"/>
      <c r="S47"/>
    </row>
    <row r="48" spans="1:15" ht="35.25" customHeight="1">
      <c r="A48" s="774" t="s">
        <v>319</v>
      </c>
      <c r="B48" s="774"/>
      <c r="C48" s="774"/>
      <c r="D48" s="774"/>
      <c r="E48" s="774"/>
      <c r="F48" s="774"/>
      <c r="G48" s="774"/>
      <c r="H48" s="774"/>
      <c r="I48" s="774"/>
      <c r="J48" s="774"/>
      <c r="K48" s="2"/>
      <c r="L48" s="2"/>
      <c r="M48" s="2"/>
      <c r="N48" s="2"/>
      <c r="O48" s="2"/>
    </row>
    <row r="49" spans="4:19" ht="19.5" customHeight="1">
      <c r="D49" s="133" t="s">
        <v>223</v>
      </c>
      <c r="E49" s="783">
        <f>IF(Nom_Val="","",Nom_Val*0.0002)</f>
      </c>
      <c r="F49" s="783"/>
      <c r="G49" s="42">
        <f>IF(Nom_Val="","",IF(NomValUnit="Nominal Volume (L)","L","gal"))</f>
      </c>
      <c r="H49" s="777">
        <f>IF(E50="","",IF(E50&lt;E49,"The Range Test Meets Criteria.","Range Test Fails, Investigate and Correct Any Problems, Then Redo Measurements"))</f>
      </c>
      <c r="I49" s="777"/>
      <c r="J49" s="777"/>
      <c r="K49"/>
      <c r="L49"/>
      <c r="M49"/>
      <c r="N49"/>
      <c r="O49"/>
      <c r="P49"/>
      <c r="Q49"/>
      <c r="R49"/>
      <c r="S49"/>
    </row>
    <row r="50" spans="4:19" ht="19.5" customHeight="1">
      <c r="D50" s="133" t="s">
        <v>22</v>
      </c>
      <c r="E50" s="783">
        <f>IF(ISERROR(ABS(E29-E30)),"",ABS(E29-E30))</f>
      </c>
      <c r="F50" s="783"/>
      <c r="G50" s="42">
        <f>IF(Nom_Val="","",IF(NomValUnit="Nominal Volume (L)","L","gal"))</f>
      </c>
      <c r="H50" s="777"/>
      <c r="I50" s="777"/>
      <c r="J50" s="777"/>
      <c r="K50"/>
      <c r="L50"/>
      <c r="M50"/>
      <c r="N50"/>
      <c r="O50"/>
      <c r="P50"/>
      <c r="Q50"/>
      <c r="R50"/>
      <c r="S50"/>
    </row>
    <row r="51" spans="8:19" ht="12" customHeight="1">
      <c r="H51" s="3"/>
      <c r="I51"/>
      <c r="J51"/>
      <c r="K51"/>
      <c r="L51"/>
      <c r="M51"/>
      <c r="N51"/>
      <c r="O51"/>
      <c r="P51"/>
      <c r="Q51"/>
      <c r="R51"/>
      <c r="S51"/>
    </row>
    <row r="52" spans="1:19" ht="16.5" customHeight="1" thickBot="1">
      <c r="A52" s="35" t="s">
        <v>222</v>
      </c>
      <c r="B52" s="35"/>
      <c r="C52" s="36"/>
      <c r="D52" s="37"/>
      <c r="E52" s="38"/>
      <c r="F52" s="39"/>
      <c r="G52" s="39"/>
      <c r="H52" s="38"/>
      <c r="I52" s="40"/>
      <c r="J52" s="40"/>
      <c r="K52"/>
      <c r="L52"/>
      <c r="M52"/>
      <c r="N52"/>
      <c r="O52"/>
      <c r="P52"/>
      <c r="Q52"/>
      <c r="R52"/>
      <c r="S52"/>
    </row>
    <row r="53" spans="1:19" ht="32.25" customHeight="1">
      <c r="A53" s="788" t="s">
        <v>221</v>
      </c>
      <c r="B53" s="788"/>
      <c r="C53" s="788"/>
      <c r="D53" s="788"/>
      <c r="E53" s="788"/>
      <c r="F53" s="788"/>
      <c r="G53" s="788"/>
      <c r="H53" s="788"/>
      <c r="I53" s="788"/>
      <c r="J53" s="788"/>
      <c r="K53"/>
      <c r="L53"/>
      <c r="M53"/>
      <c r="N53"/>
      <c r="O53"/>
      <c r="P53"/>
      <c r="Q53"/>
      <c r="R53"/>
      <c r="S53"/>
    </row>
    <row r="54" spans="4:19" ht="15.75" customHeight="1">
      <c r="D54" s="133" t="s">
        <v>224</v>
      </c>
      <c r="E54" s="783">
        <f>IF(ISERROR(STDEV(E29,E30)),"",STDEV(E29,E30))</f>
      </c>
      <c r="F54" s="783"/>
      <c r="G54" s="42">
        <f>IF(Nom_Val="","",IF(NomValUnit="Nominal Volume (L)","L","gal"))</f>
      </c>
      <c r="H54" s="3"/>
      <c r="I54"/>
      <c r="J54"/>
      <c r="K54"/>
      <c r="L54"/>
      <c r="M54"/>
      <c r="N54"/>
      <c r="O54"/>
      <c r="P54"/>
      <c r="Q54"/>
      <c r="R54"/>
      <c r="S54"/>
    </row>
    <row r="55" spans="8:19" ht="12" customHeight="1">
      <c r="H55" s="3"/>
      <c r="I55"/>
      <c r="J55"/>
      <c r="K55"/>
      <c r="L55"/>
      <c r="M55"/>
      <c r="N55"/>
      <c r="O55"/>
      <c r="P55"/>
      <c r="Q55"/>
      <c r="R55"/>
      <c r="S55"/>
    </row>
    <row r="56" spans="1:19" ht="25.5" customHeight="1" thickBot="1">
      <c r="A56" s="34" t="s">
        <v>474</v>
      </c>
      <c r="B56" s="34"/>
      <c r="C56" s="1"/>
      <c r="D56" s="9"/>
      <c r="E56" s="5"/>
      <c r="F56" s="13"/>
      <c r="G56" s="13"/>
      <c r="H56" s="5"/>
      <c r="I56" s="26"/>
      <c r="J56" s="26"/>
      <c r="K56"/>
      <c r="L56"/>
      <c r="M56"/>
      <c r="N56"/>
      <c r="O56"/>
      <c r="P56"/>
      <c r="Q56"/>
      <c r="R56"/>
      <c r="S56"/>
    </row>
    <row r="57" spans="1:19" ht="35.25" customHeight="1">
      <c r="A57" s="223">
        <f>IF(OR(Nom_Val="",NomValUnit="Nominal Volume (gal)"),"",IF(Scale_Unit="Scale Graduations (L)",AND(ABS('Prover Data Entry'!E100-'Prover Data Entry'!J103)&lt;=0.0002*Nom_Val,ABS('Prover Data Entry'!E101-'Prover Data Entry'!J102)&lt;=0.0002*Nom_Val,ABS('Prover Data Entry'!E102-'Prover Data Entry'!J101)&lt;=0.0002*Nom_Val,ABS('Prover Data Entry'!E103-'Prover Data Entry'!J100)&lt;=0.0002*Nom_Val),AND(ABS('Prover Data Entry'!E100-'Prover Data Entry'!J103)&lt;=0.0002*Nom_Val*1000,ABS('Prover Data Entry'!E101-'Prover Data Entry'!J102)&lt;=0.0002*Nom_Val*1000,ABS('Prover Data Entry'!E102-'Prover Data Entry'!J101)&lt;=0.0002*Nom_Val*1000,ABS('Prover Data Entry'!E103-'Prover Data Entry'!J100)&lt;=0.0002*Nom_Val*1000)))</f>
      </c>
      <c r="B57" s="223"/>
      <c r="C57" s="793" t="s">
        <v>163</v>
      </c>
      <c r="D57" s="793"/>
      <c r="E57" s="793"/>
      <c r="F57" s="793"/>
      <c r="G57" s="793"/>
      <c r="H57" s="793"/>
      <c r="I57" s="793"/>
      <c r="J57" s="223">
        <f>IF(OR(Nom_Val="",NomValUnit="Nominal Volume (L)"),"",IF(Scale_Unit="Scale Graduations (gal)",AND(ABS('Prover Data Entry'!E100-'Prover Data Entry'!J103)&lt;=0.0002*Nom_Val,ABS('Prover Data Entry'!E101-'Prover Data Entry'!J102)&lt;=0.0002*Nom_Val,ABS('Prover Data Entry'!E102-'Prover Data Entry'!J101)&lt;=0.0002*Nom_Val,ABS('Prover Data Entry'!E103-'Prover Data Entry'!J100)&lt;=0.0002*Nom_Val),AND(ABS('Prover Data Entry'!E100-'Prover Data Entry'!J103)&lt;=0.0002*Nom_Val*231,ABS('Prover Data Entry'!E101-'Prover Data Entry'!J102)&lt;=0.0002*Nom_Val*231,ABS('Prover Data Entry'!E102-'Prover Data Entry'!J101)&lt;=0.0002*Nom_Val*231,ABS('Prover Data Entry'!E103-'Prover Data Entry'!J100)&lt;=0.0002*Nom_Val*231)))</f>
      </c>
      <c r="K57"/>
      <c r="L57"/>
      <c r="M57"/>
      <c r="N57"/>
      <c r="O57"/>
      <c r="P57"/>
      <c r="Q57"/>
      <c r="R57"/>
      <c r="S57"/>
    </row>
    <row r="58" spans="1:19" ht="33" customHeight="1">
      <c r="A58" s="777">
        <f>IF('Prover Data Entry'!E100="","",IF(AND(NomValUnit="Nominal Volume (L)",A57=TRUE),"Pressure test passed, all like pressure points are within "&amp;0.0002*Nom_Val&amp;" L or "&amp;0.0002*Nom_Val*1000&amp;" mL. Issue Report of Calibration.",IF(AND(NomValUnit="Nominal Volume (gal)",J57=TRUE),"Pressure test passed, all like pressure points are within "&amp;0.0002*Nom_Val&amp;" gal or "&amp;0.0002*Nom_Val*231&amp;" in³. Issue Report of Calibration.",IF(AND(NomValUnit="Nominal Volume (L)",A57=FALSE),"Pressure test failed, some or all like pressure points are not within "&amp;0.0002*Nom_Val&amp;" L or "&amp;0.0002*Nom_Val*1000&amp;" mL.  Investigate the problem (i.e., check for leaks or loose fittings), correct the problem then rerun the test.",IF(AND(NomValUnit="Nominal Volume (gal)",J57=FALSE),"Pressure test failed, some or all like pressure points are not within "&amp;0.0002*Nom_Val&amp;" gal or "&amp;0.0002*Nom_Val*231&amp;" in³.  Investigate the problem (i.e., check for leaks or loose fittings), correct the problem then rerun the test.")))))</f>
      </c>
      <c r="B58" s="777"/>
      <c r="C58" s="777"/>
      <c r="D58" s="777"/>
      <c r="E58" s="777"/>
      <c r="F58" s="777"/>
      <c r="G58" s="777"/>
      <c r="H58" s="777"/>
      <c r="I58" s="777"/>
      <c r="J58" s="777"/>
      <c r="K58"/>
      <c r="L58"/>
      <c r="M58"/>
      <c r="N58"/>
      <c r="O58"/>
      <c r="P58"/>
      <c r="Q58"/>
      <c r="R58"/>
      <c r="S58"/>
    </row>
    <row r="59" ht="12" customHeight="1"/>
    <row r="60" spans="1:19" ht="24" customHeight="1" thickBot="1">
      <c r="A60" s="34" t="s">
        <v>91</v>
      </c>
      <c r="B60" s="34"/>
      <c r="C60" s="5"/>
      <c r="D60" s="14"/>
      <c r="E60" s="4"/>
      <c r="F60" s="5"/>
      <c r="G60" s="5"/>
      <c r="H60" s="4"/>
      <c r="I60" s="26"/>
      <c r="J60" s="26"/>
      <c r="K60"/>
      <c r="L60"/>
      <c r="M60"/>
      <c r="N60"/>
      <c r="O60"/>
      <c r="P60"/>
      <c r="Q60"/>
      <c r="R60"/>
      <c r="S60"/>
    </row>
    <row r="61" spans="4:19" ht="15.75">
      <c r="D61" s="33" t="s">
        <v>82</v>
      </c>
      <c r="E61" s="778">
        <f>IF(Nom_Val="","",Nom_Val)</f>
      </c>
      <c r="F61" s="778"/>
      <c r="G61" s="42">
        <f>IF(Nom_Val="","",IF(NomValUnit="Nominal Volume (gal)","gal","L"))</f>
      </c>
      <c r="H61" s="8"/>
      <c r="I61"/>
      <c r="J61"/>
      <c r="K61"/>
      <c r="L61"/>
      <c r="M61"/>
      <c r="N61"/>
      <c r="O61"/>
      <c r="P61"/>
      <c r="Q61"/>
      <c r="R61"/>
      <c r="S61"/>
    </row>
    <row r="62" spans="4:19" ht="15.75">
      <c r="D62" s="133" t="s">
        <v>175</v>
      </c>
      <c r="E62" s="772">
        <f>IF(Nom_Val="","",FIXED(Nom_Val*0.2%,2-1-INT(LOG10(ABS(Final_U))),TRUE))</f>
      </c>
      <c r="F62" s="772"/>
      <c r="G62" s="42">
        <f>IF(Nom_Val="","",IF(NomValUnit="Nominal Volume (gal)","gal","L"))</f>
      </c>
      <c r="H62" s="8"/>
      <c r="I62"/>
      <c r="J62"/>
      <c r="K62"/>
      <c r="L62"/>
      <c r="M62"/>
      <c r="N62"/>
      <c r="O62"/>
      <c r="P62"/>
      <c r="Q62"/>
      <c r="R62"/>
      <c r="S62"/>
    </row>
    <row r="63" spans="4:19" ht="15.75" customHeight="1">
      <c r="D63" s="33" t="s">
        <v>83</v>
      </c>
      <c r="E63" s="772">
        <f>IF(ISNUMBER(E33),FIXED(E33,2-1-INT(LOG10(ABS(Final_U))),TRUE),"")</f>
      </c>
      <c r="F63" s="772"/>
      <c r="G63" s="50">
        <f>IF(Nom_Val="","",IF(AND(RefTempUnit="Designated Reference Temperature For This Calibration (ºC)",NomValUnit="Nominal Volume (L)"),"L @ "&amp;RefT&amp;" ºC and 100 psig",IF(AND(RefTempUnit="Designated Reference Temperature For This Calibration (ºF)",NomValUnit="Nominal Volume (L)"),"L @ "&amp;RefT&amp;" ºF and 100 psig",IF(AND(RefTempUnit="Designated Reference Temperature For This Calibration (ºC)",NomValUnit="Nominal Volume (gal)"),"gal @ "&amp;RefT&amp;" ºC and 100 psig",IF(AND(RefTempUnit="Designated Reference Temperature For This Calibration (ºF)",NomValUnit="Nominal Volume (gal)"),"gal @ "&amp;RefT&amp;" ºF and 100 psig")))))</f>
      </c>
      <c r="H63" s="8"/>
      <c r="I63"/>
      <c r="J63"/>
      <c r="K63"/>
      <c r="L63"/>
      <c r="M63"/>
      <c r="N63"/>
      <c r="O63"/>
      <c r="P63"/>
      <c r="Q63"/>
      <c r="R63"/>
      <c r="S63"/>
    </row>
    <row r="64" spans="4:11" ht="16.5" customHeight="1">
      <c r="D64" s="33" t="s">
        <v>118</v>
      </c>
      <c r="E64" s="772">
        <f>IF(ISNUMBER(E34),FIXED(E34,2-1-INT(LOG10(ABS(Final_U))),TRUE),"")</f>
      </c>
      <c r="F64" s="772"/>
      <c r="G64" s="50">
        <f>IF(Nom_Val="","",IF(AND(RefTempUnit="Designated Reference Temperature For This Calibration (ºC)",NomValUnit="Nominal Volume (L)"),"L @ "&amp;RefT&amp;" ºC and 100 psig",IF(AND(RefTempUnit="Designated Reference Temperature For This Calibration (ºF)",NomValUnit="Nominal Volume (L)"),"L @ "&amp;RefT&amp;" ºF and 100 psig",IF(AND(RefTempUnit="Designated Reference Temperature For This Calibration (ºC)",NomValUnit="Nominal Volume (gal)"),"gal @ "&amp;RefT&amp;" ºC and 100 psig",IF(AND(RefTempUnit="Designated Reference Temperature For This Calibration (ºF)",NomValUnit="Nominal Volume (gal)"),"gal @ "&amp;RefT&amp;" ºF and 100 psig")))))</f>
      </c>
      <c r="H64" s="8"/>
      <c r="I64" s="2"/>
      <c r="J64" s="17"/>
      <c r="K64" s="17"/>
    </row>
    <row r="65" spans="4:11" ht="16.5" customHeight="1">
      <c r="D65" s="133" t="s">
        <v>552</v>
      </c>
      <c r="E65" s="772">
        <f>IF(E61="","",Final_Veff)</f>
      </c>
      <c r="F65" s="772"/>
      <c r="G65" s="50"/>
      <c r="H65" s="8"/>
      <c r="I65" s="2"/>
      <c r="J65" s="17"/>
      <c r="K65" s="17"/>
    </row>
    <row r="66" spans="4:11" ht="16.5" customHeight="1">
      <c r="D66" s="133" t="s">
        <v>518</v>
      </c>
      <c r="E66" s="772">
        <f>IF(E61="","",Final_k)</f>
      </c>
      <c r="F66" s="772"/>
      <c r="G66" s="50"/>
      <c r="H66" s="8"/>
      <c r="I66" s="2"/>
      <c r="J66" s="17"/>
      <c r="K66" s="17"/>
    </row>
    <row r="67" spans="4:11" ht="16.5" customHeight="1">
      <c r="D67" s="133" t="s">
        <v>659</v>
      </c>
      <c r="E67" s="772">
        <f>IF(E61="","",FIXED(Final_U,2-1-INT(LOG10(ABS(Final_U))),TRUE))</f>
      </c>
      <c r="F67" s="772"/>
      <c r="G67" s="42">
        <f>IF(Nom_Val="","",IF(NomValUnit="Nominal Volume (L)","L","gal"))</f>
      </c>
      <c r="H67" s="8"/>
      <c r="I67" s="2"/>
      <c r="J67" s="17"/>
      <c r="K67" s="17"/>
    </row>
    <row r="68" spans="8:11" ht="16.5" customHeight="1">
      <c r="H68" s="8"/>
      <c r="I68" s="20"/>
      <c r="J68" s="17"/>
      <c r="K68" s="17"/>
    </row>
    <row r="69" spans="9:11" ht="16.5" customHeight="1" hidden="1">
      <c r="I69" s="2"/>
      <c r="J69" s="2"/>
      <c r="K69" s="17"/>
    </row>
    <row r="70" spans="9:11" ht="16.5" customHeight="1" hidden="1">
      <c r="I70" s="2"/>
      <c r="J70" s="2"/>
      <c r="K70" s="17"/>
    </row>
    <row r="71" ht="12.75" hidden="1"/>
    <row r="72" ht="12.75" hidden="1"/>
    <row r="73" ht="12.75" hidden="1"/>
    <row r="74" ht="12.75" hidden="1"/>
    <row r="75" ht="12.75" hidden="1"/>
    <row r="76" ht="12.75" hidden="1"/>
    <row r="77" spans="1:2" ht="12.75" hidden="1">
      <c r="A77" s="18"/>
      <c r="B77" s="18"/>
    </row>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spans="1:2" ht="12.75" hidden="1">
      <c r="A108" s="23"/>
      <c r="B108" s="23"/>
    </row>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sheetData>
  <sheetProtection password="83AF" sheet="1" objects="1" scenarios="1" selectLockedCells="1" selectUnlockedCells="1"/>
  <mergeCells count="45">
    <mergeCell ref="A22:E22"/>
    <mergeCell ref="F22:J22"/>
    <mergeCell ref="A4:E4"/>
    <mergeCell ref="F4:J4"/>
    <mergeCell ref="A21:D21"/>
    <mergeCell ref="F21:I21"/>
    <mergeCell ref="A24:C24"/>
    <mergeCell ref="D24:E24"/>
    <mergeCell ref="F24:H24"/>
    <mergeCell ref="I24:J24"/>
    <mergeCell ref="C57:I57"/>
    <mergeCell ref="A37:J37"/>
    <mergeCell ref="E38:F38"/>
    <mergeCell ref="E39:F39"/>
    <mergeCell ref="A42:J42"/>
    <mergeCell ref="I23:J23"/>
    <mergeCell ref="E27:F27"/>
    <mergeCell ref="E28:F28"/>
    <mergeCell ref="E45:F45"/>
    <mergeCell ref="H49:J50"/>
    <mergeCell ref="E54:F54"/>
    <mergeCell ref="A53:J53"/>
    <mergeCell ref="E33:F33"/>
    <mergeCell ref="E34:F34"/>
    <mergeCell ref="E50:F50"/>
    <mergeCell ref="E67:F67"/>
    <mergeCell ref="E61:F61"/>
    <mergeCell ref="E63:F63"/>
    <mergeCell ref="E62:F62"/>
    <mergeCell ref="E64:F64"/>
    <mergeCell ref="A23:C23"/>
    <mergeCell ref="D23:E23"/>
    <mergeCell ref="F23:H23"/>
    <mergeCell ref="E49:F49"/>
    <mergeCell ref="H38:J39"/>
    <mergeCell ref="E66:F66"/>
    <mergeCell ref="H45:J45"/>
    <mergeCell ref="A48:J48"/>
    <mergeCell ref="E43:F43"/>
    <mergeCell ref="E29:F29"/>
    <mergeCell ref="E30:F30"/>
    <mergeCell ref="E44:F44"/>
    <mergeCell ref="H44:J44"/>
    <mergeCell ref="A58:J58"/>
    <mergeCell ref="E65:F65"/>
  </mergeCells>
  <conditionalFormatting sqref="H38">
    <cfRule type="expression" priority="1" dxfId="38" stopIfTrue="1">
      <formula>$E$39&lt;$E$38</formula>
    </cfRule>
    <cfRule type="expression" priority="2" dxfId="39" stopIfTrue="1">
      <formula>$E$39&gt;$E$38</formula>
    </cfRule>
  </conditionalFormatting>
  <conditionalFormatting sqref="H44">
    <cfRule type="expression" priority="5" dxfId="38" stopIfTrue="1">
      <formula>AND(ISNUMBER($E$44),ABS($E$44)+Unc&lt;=$E$43)</formula>
    </cfRule>
    <cfRule type="expression" priority="6" dxfId="39" stopIfTrue="1">
      <formula>ABS($E$44)+Unc&gt;$E$43</formula>
    </cfRule>
  </conditionalFormatting>
  <conditionalFormatting sqref="H45">
    <cfRule type="expression" priority="3" dxfId="38" stopIfTrue="1">
      <formula>AND(ISNUMBER($E$45),ABS($E$45)+Unc&lt;=$E$43)</formula>
    </cfRule>
    <cfRule type="expression" priority="4" dxfId="39" stopIfTrue="1">
      <formula>ABS($E$45)+Unc&gt;$E$43</formula>
    </cfRule>
  </conditionalFormatting>
  <conditionalFormatting sqref="H49">
    <cfRule type="expression" priority="7" dxfId="38" stopIfTrue="1">
      <formula>AND(ISNUMBER(E50),E50&lt;E49)</formula>
    </cfRule>
    <cfRule type="expression" priority="8" dxfId="39" stopIfTrue="1">
      <formula>AND(ISNUMBER(E50),E50&gt;E49)</formula>
    </cfRule>
  </conditionalFormatting>
  <conditionalFormatting sqref="A58">
    <cfRule type="expression" priority="9" dxfId="38" stopIfTrue="1">
      <formula>OR(AND(NomValUnit="Nominal Volume (L)",A57=TRUE),AND(NomValUnit="Nominal Volume (gal)",J57=TRUE))</formula>
    </cfRule>
    <cfRule type="expression" priority="10" dxfId="39" stopIfTrue="1">
      <formula>OR(AND(NomValUnit="Nominal Volume (L)",A57=FALSE),AND(NomValUnit="Nominal Volume (gal)",J57=FALSE))</formula>
    </cfRule>
  </conditionalFormatting>
  <printOptions horizontalCentered="1"/>
  <pageMargins left="0.5" right="0.5" top="1.25" bottom="0.75" header="0.75" footer="0.5"/>
  <pageSetup horizontalDpi="180" verticalDpi="180" orientation="portrait" scale="85" r:id="rId4"/>
  <headerFooter alignWithMargins="0">
    <oddHeader>&amp;L&amp;"Trebuchet MS,Regular"Calibration of LPG Provers&amp;R&amp;"Trebuchet MS,Regular"WAMRF-014, Rev. 29, 10/22/2014</oddHeader>
    <oddFooter>&amp;L&amp;"Trebuchet MS,Regular"&amp;F&amp;R&amp;"Trebuchet MS,Regular"&amp;A Worksheet Page &amp;P of &amp;N</oddFooter>
  </headerFooter>
  <rowBreaks count="1" manualBreakCount="1">
    <brk id="40" max="7" man="1"/>
  </rowBreaks>
  <colBreaks count="1" manualBreakCount="1">
    <brk id="10" max="65535" man="1"/>
  </colBreaks>
  <drawing r:id="rId3"/>
  <legacyDrawing r:id="rId2"/>
</worksheet>
</file>

<file path=xl/worksheets/sheet11.xml><?xml version="1.0" encoding="utf-8"?>
<worksheet xmlns="http://schemas.openxmlformats.org/spreadsheetml/2006/main" xmlns:r="http://schemas.openxmlformats.org/officeDocument/2006/relationships">
  <sheetPr>
    <tabColor theme="9" tint="-0.4999699890613556"/>
  </sheetPr>
  <dimension ref="A1:J68"/>
  <sheetViews>
    <sheetView showGridLines="0" zoomScalePageLayoutView="0" workbookViewId="0" topLeftCell="A1">
      <selection activeCell="A1" sqref="A1"/>
    </sheetView>
  </sheetViews>
  <sheetFormatPr defaultColWidth="0" defaultRowHeight="15.75" zeroHeight="1"/>
  <cols>
    <col min="1" max="6" width="12.77734375" style="21" customWidth="1"/>
    <col min="7" max="7" width="3.77734375" style="21" customWidth="1"/>
    <col min="8" max="8" width="1.77734375" style="21" hidden="1" customWidth="1"/>
    <col min="9" max="16384" width="7.99609375" style="21" hidden="1" customWidth="1"/>
  </cols>
  <sheetData>
    <row r="1" spans="1:9" ht="19.5" thickBot="1">
      <c r="A1" s="62" t="s">
        <v>62</v>
      </c>
      <c r="B1" s="62"/>
      <c r="C1" s="62"/>
      <c r="D1" s="62"/>
      <c r="E1" s="62"/>
      <c r="F1" s="66">
        <f>IF(RptNo="","","Report Number: "&amp;RptNo)</f>
      </c>
      <c r="I1" s="67"/>
    </row>
    <row r="2" spans="1:9" ht="12" customHeight="1">
      <c r="A2" s="12"/>
      <c r="B2" s="10"/>
      <c r="C2" s="11"/>
      <c r="D2" s="11"/>
      <c r="E2" s="12"/>
      <c r="F2" s="12"/>
      <c r="G2" s="12"/>
      <c r="H2" s="93"/>
      <c r="I2" s="16"/>
    </row>
    <row r="3" spans="1:6" ht="24" customHeight="1" thickBot="1">
      <c r="A3" s="46" t="s">
        <v>93</v>
      </c>
      <c r="B3" s="47"/>
      <c r="C3" s="47"/>
      <c r="D3" s="47"/>
      <c r="E3" s="47"/>
      <c r="F3" s="66"/>
    </row>
    <row r="4" spans="1:8" ht="15">
      <c r="A4" s="48" t="s">
        <v>110</v>
      </c>
      <c r="B4" s="22"/>
      <c r="C4" s="22"/>
      <c r="D4" s="22"/>
      <c r="E4" s="22"/>
      <c r="F4" s="22"/>
      <c r="G4" s="22"/>
      <c r="H4" s="22"/>
    </row>
    <row r="5" spans="1:8" ht="21.75" customHeight="1">
      <c r="A5" s="55"/>
      <c r="B5" s="22"/>
      <c r="C5" s="22"/>
      <c r="D5" s="22"/>
      <c r="E5" s="22"/>
      <c r="F5" s="22"/>
      <c r="G5" s="22"/>
      <c r="H5" s="22"/>
    </row>
    <row r="6" spans="2:8" ht="15">
      <c r="B6" s="107" t="s">
        <v>37</v>
      </c>
      <c r="H6" s="22"/>
    </row>
    <row r="7" spans="2:8" ht="17.25">
      <c r="B7" s="44" t="s">
        <v>164</v>
      </c>
      <c r="C7" s="45" t="s">
        <v>173</v>
      </c>
      <c r="D7" s="45"/>
      <c r="E7" s="45"/>
      <c r="H7" s="22"/>
    </row>
    <row r="8" spans="2:8" ht="17.25">
      <c r="B8" s="44" t="s">
        <v>121</v>
      </c>
      <c r="C8" s="45" t="s">
        <v>61</v>
      </c>
      <c r="D8" s="45"/>
      <c r="E8" s="45"/>
      <c r="H8" s="22"/>
    </row>
    <row r="9" spans="2:8" ht="32.25" customHeight="1">
      <c r="B9" s="119" t="s">
        <v>122</v>
      </c>
      <c r="C9" s="800" t="s">
        <v>668</v>
      </c>
      <c r="D9" s="800"/>
      <c r="E9" s="800"/>
      <c r="F9" s="800"/>
      <c r="H9" s="22"/>
    </row>
    <row r="10" spans="2:8" ht="17.25">
      <c r="B10" s="44" t="s">
        <v>123</v>
      </c>
      <c r="C10" s="45" t="s">
        <v>60</v>
      </c>
      <c r="D10" s="45"/>
      <c r="E10" s="45"/>
      <c r="H10" s="22"/>
    </row>
    <row r="11" spans="2:8" ht="17.25">
      <c r="B11" s="44" t="s">
        <v>124</v>
      </c>
      <c r="C11" s="45" t="s">
        <v>67</v>
      </c>
      <c r="D11" s="45"/>
      <c r="E11" s="45"/>
      <c r="H11" s="22"/>
    </row>
    <row r="12" spans="2:8" ht="12" customHeight="1">
      <c r="B12" s="44"/>
      <c r="C12" s="45"/>
      <c r="D12" s="45"/>
      <c r="E12" s="45"/>
      <c r="H12" s="22"/>
    </row>
    <row r="13" spans="1:8" ht="15.75">
      <c r="A13" s="45" t="s">
        <v>119</v>
      </c>
      <c r="B13" s="44"/>
      <c r="C13" s="45"/>
      <c r="D13" s="45"/>
      <c r="E13" s="45"/>
      <c r="H13" s="22"/>
    </row>
    <row r="14" ht="39" customHeight="1">
      <c r="H14" s="22"/>
    </row>
    <row r="15" spans="2:8" ht="15">
      <c r="B15" s="107" t="s">
        <v>37</v>
      </c>
      <c r="H15" s="22"/>
    </row>
    <row r="16" spans="2:8" ht="17.25">
      <c r="B16" s="44" t="s">
        <v>125</v>
      </c>
      <c r="C16" s="45" t="s">
        <v>66</v>
      </c>
      <c r="D16" s="45"/>
      <c r="E16" s="45"/>
      <c r="H16" s="22"/>
    </row>
    <row r="17" spans="2:8" ht="17.25">
      <c r="B17" s="44" t="s">
        <v>126</v>
      </c>
      <c r="C17" s="45" t="str">
        <f>IF(NomValUnit="Nominal Volume (L)","Water compressibility value L/L at 100 psig","Water compressibility value gal/gal at 100 psig")</f>
        <v>Water compressibility value gal/gal at 100 psig</v>
      </c>
      <c r="D17" s="45"/>
      <c r="E17" s="45"/>
      <c r="H17" s="22"/>
    </row>
    <row r="18" ht="12" customHeight="1">
      <c r="H18" s="22"/>
    </row>
    <row r="19" spans="1:8" ht="24" customHeight="1" thickBot="1">
      <c r="A19" s="46" t="s">
        <v>92</v>
      </c>
      <c r="B19" s="47"/>
      <c r="C19" s="47"/>
      <c r="D19" s="47"/>
      <c r="E19" s="47"/>
      <c r="F19" s="47"/>
      <c r="G19" s="118"/>
      <c r="H19" s="67"/>
    </row>
    <row r="20" spans="1:8" s="563" customFormat="1" ht="50.25" customHeight="1">
      <c r="A20" s="561" t="s">
        <v>31</v>
      </c>
      <c r="B20" s="562" t="str">
        <f>IF(Scale_Unit="Scale Graduations (L)","Prover Scale Reading 
(L)",IF(Scale_Unit="Scale Graduations (mL)","Prover Scale Reading 
(mL)",IF(Scale_Unit="Scale Graduations (gal)","Prover Scale Reading 
(gal)","Prover Scale Reading 
(in³)")))</f>
        <v>Prover Scale Reading 
(in³)</v>
      </c>
      <c r="C20" s="562" t="str">
        <f>IF(Scale_Unit="Scale Graduations (L)","Pressure Correction (Pcorr) 
(L)",IF(Scale_Unit="Scale Graduations (mL)","Pressure Correction (Pcorr) 
(mL)",IF(Scale_Unit="Scale Graduations (gal)","Pressure Correction (Pcorr) 
(gal)","Pressure Correction (Pcorr) 
(in³)")))</f>
        <v>Pressure Correction (Pcorr) 
(in³)</v>
      </c>
      <c r="D20" s="562" t="str">
        <f>"Prover Error (Adjusted) "&amp;IF(NomValUnit="Nominal Value (L)","
(L)","
(gal)")</f>
        <v>Prover Error (Adjusted) 
(gal)</v>
      </c>
      <c r="E20" s="562" t="str">
        <f>"Prover Error 
(Not Adjusted) "&amp;IF(NomValUnit="Nominal Value (L)","
(L)","
(gal)")</f>
        <v>Prover Error 
(Not Adjusted) 
(gal)</v>
      </c>
      <c r="F20" s="562" t="str">
        <f>IF(AND(Adjusted="Yes",NomValUnit="Nominal Volume (gal)"),"Prover Volume 
(Adjusted) 
(gal)",IF(AND(Adjusted="Yes",NomValUnit="Nominal Volume (L)"),"Prover Volume 
(Adjusted) 
(L)",IF(AND(Adjusted="No",NomValUnit="Nominal Volume (L)"),"Prover Volume 
(Not Adjusted) 
(L)","Prover Volume 
(Not Adjusted) 
(gal)")))</f>
        <v>Prover Volume 
(Not Adjusted) 
(gal)</v>
      </c>
      <c r="H20" s="564"/>
    </row>
    <row r="21" spans="1:10" ht="15.75">
      <c r="A21" s="539">
        <v>0</v>
      </c>
      <c r="B21" s="540">
        <f>IF(Z60_2="","",'Prover Data Entry'!E100)</f>
      </c>
      <c r="C21" s="541">
        <f>IF(Z60_2="","",IF(Scale_Unit="Scale Graduations (in³)",$B$31-B21+('Water Compressability'!$D$39*Nom_Val*231)*((100-A21)/100),IF(Scale_Unit="Scale Graduations (mL)",$B$31-B21+('Water Compressability'!$D$39*Nom_Val*1000)*((100-A21)/100),$B$31-B21+('Water Compressability'!$D$39*Nom_Val)*((100-A21)/100))))</f>
      </c>
      <c r="D21" s="540">
        <f aca="true" t="shared" si="0" ref="D21:D41">IF(Z60_2="","",IF(Scale_Unit="Scale Graduations (in³)",C21/231,IF(Scale_Unit="Scale Graduations (mL)",C21/1000,C21)))</f>
      </c>
      <c r="E21" s="541">
        <f>IF(Z60_2="","",IF(Scale_Unit="Scale Graduations (in³)",((Z60_2-Nom_Val*'Water Compressability'!C41)*231-B21)/231,IF(Scale_Unit="Scale Graduations (mL)",((Z60_2-Nom_Val*'Water Compressability'!C41)*1000-B21)/1000,Z60_2-Nom_Val*'Water Compressability'!C41-B21)))</f>
      </c>
      <c r="F21" s="540">
        <f aca="true" t="shared" si="1" ref="F21:F41">IF(Z60_2="","",IF(Adjusted="Yes",Nom_Val+D21,Nom_Val+E21))</f>
      </c>
      <c r="H21"/>
      <c r="J21" s="56"/>
    </row>
    <row r="22" spans="1:8" ht="15.75">
      <c r="A22" s="542">
        <v>10</v>
      </c>
      <c r="B22" s="541">
        <f>IF(Z60_2="","",(($B$26-$B$21)/5)+B21)</f>
      </c>
      <c r="C22" s="541">
        <f>IF(Z60_2="","",IF(Scale_Unit="Scale Graduations (in³)",$B$31-B22+('Water Compressability'!$D$39*Nom_Val*231)*((100-A22)/100),IF(Scale_Unit="Scale Graduations (mL)",$B$31-B22+('Water Compressability'!$D$39*Nom_Val*1000)*((100-A22)/100),$B$31-B22+('Water Compressability'!$D$39*Nom_Val)*((100-A22)/100))))</f>
      </c>
      <c r="D22" s="540">
        <f t="shared" si="0"/>
      </c>
      <c r="E22" s="541">
        <f>IF(Z60_2="","",IF(Scale_Unit="Scale Graduations (in³)",((Z60_2-Nom_Val*'Water Compressability'!C42)*231-B22)/231,IF(Scale_Unit="Scale Graduations (mL)",((Z60_2-Nom_Val*'Water Compressability'!C42)*1000-B22)/1000,Z60_2-Nom_Val*'Water Compressability'!C42-B22)))</f>
      </c>
      <c r="F22" s="540">
        <f t="shared" si="1"/>
      </c>
      <c r="H22"/>
    </row>
    <row r="23" spans="1:10" ht="15.75">
      <c r="A23" s="542">
        <v>20</v>
      </c>
      <c r="B23" s="541">
        <f>IF(Z60_2="","",(($B$26-$B$21)/5)+B22)</f>
      </c>
      <c r="C23" s="541">
        <f>IF(Z60_2="","",IF(Scale_Unit="Scale Graduations (in³)",$B$31-B23+('Water Compressability'!$D$39*Nom_Val*231)*((100-A23)/100),IF(Scale_Unit="Scale Graduations (mL)",$B$31-B23+('Water Compressability'!$D$39*Nom_Val*1000)*((100-A23)/100),$B$31-B23+('Water Compressability'!$D$39*Nom_Val)*((100-A23)/100))))</f>
      </c>
      <c r="D23" s="540">
        <f t="shared" si="0"/>
      </c>
      <c r="E23" s="541">
        <f>IF(Z60_2="","",IF(Scale_Unit="Scale Graduations (in³)",((Z60_2-Nom_Val*'Water Compressability'!C43)*231-B23)/231,IF(Scale_Unit="Scale Graduations (mL)",((Z60_2-Nom_Val*'Water Compressability'!C43)*1000-B23)/1000,Z60_2-Nom_Val*'Water Compressability'!C43-B23)))</f>
      </c>
      <c r="F23" s="540">
        <f t="shared" si="1"/>
      </c>
      <c r="H23"/>
      <c r="J23" s="56"/>
    </row>
    <row r="24" spans="1:10" ht="15.75">
      <c r="A24" s="542">
        <v>30</v>
      </c>
      <c r="B24" s="541">
        <f>IF(Z60_2="","",(($B$26-$B$21)/5)+B23)</f>
      </c>
      <c r="C24" s="541">
        <f>IF(Z60_2="","",IF(Scale_Unit="Scale Graduations (in³)",$B$31-B24+('Water Compressability'!$D$39*Nom_Val*231)*((100-A24)/100),IF(Scale_Unit="Scale Graduations (mL)",$B$31-B24+('Water Compressability'!$D$39*Nom_Val*1000)*((100-A24)/100),$B$31-B24+('Water Compressability'!$D$39*Nom_Val)*((100-A24)/100))))</f>
      </c>
      <c r="D24" s="540">
        <f t="shared" si="0"/>
      </c>
      <c r="E24" s="541">
        <f>IF(Z60_2="","",IF(Scale_Unit="Scale Graduations (in³)",((Z60_2-Nom_Val*'Water Compressability'!C44)*231-B24)/231,IF(Scale_Unit="Scale Graduations (mL)",((Z60_2-Nom_Val*'Water Compressability'!C44)*1000-B24)/1000,Z60_2-Nom_Val*'Water Compressability'!C44-B24)))</f>
      </c>
      <c r="F24" s="540">
        <f t="shared" si="1"/>
      </c>
      <c r="H24"/>
      <c r="J24" s="56"/>
    </row>
    <row r="25" spans="1:10" ht="15.75">
      <c r="A25" s="542">
        <v>40</v>
      </c>
      <c r="B25" s="541">
        <f>IF(Z60_2="","",(($B$26-$B$21)/5)+B24)</f>
      </c>
      <c r="C25" s="541">
        <f>IF(Z60_2="","",IF(Scale_Unit="Scale Graduations (in³)",$B$31-B25+('Water Compressability'!$D$39*Nom_Val*231)*((100-A25)/100),IF(Scale_Unit="Scale Graduations (mL)",$B$31-B25+('Water Compressability'!$D$39*Nom_Val*1000)*((100-A25)/100),$B$31-B25+('Water Compressability'!$D$39*Nom_Val)*((100-A25)/100))))</f>
      </c>
      <c r="D25" s="540">
        <f t="shared" si="0"/>
      </c>
      <c r="E25" s="541">
        <f>IF(Z60_2="","",IF(Scale_Unit="Scale Graduations (in³)",((Z60_2-Nom_Val*'Water Compressability'!C45)*231-B25)/231,IF(Scale_Unit="Scale Graduations (mL)",((Z60_2-Nom_Val*'Water Compressability'!C45)*1000-B25)/1000,Z60_2-Nom_Val*'Water Compressability'!C45-B25)))</f>
      </c>
      <c r="F25" s="540">
        <f t="shared" si="1"/>
      </c>
      <c r="H25"/>
      <c r="J25" s="56"/>
    </row>
    <row r="26" spans="1:10" ht="15.75">
      <c r="A26" s="542">
        <v>50</v>
      </c>
      <c r="B26" s="541">
        <f>IF(Z60_2="","",'Prover Data Entry'!E101)</f>
      </c>
      <c r="C26" s="541">
        <f>IF(Z60_2="","",IF(Scale_Unit="Scale Graduations (in³)",$B$31-B26+('Water Compressability'!$D$39*Nom_Val*231)*((100-A26)/100),IF(Scale_Unit="Scale Graduations (mL)",$B$31-B26+('Water Compressability'!$D$39*Nom_Val*1000)*((100-A26)/100),$B$31-B26+('Water Compressability'!$D$39*Nom_Val)*((100-A26)/100))))</f>
      </c>
      <c r="D26" s="540">
        <f t="shared" si="0"/>
      </c>
      <c r="E26" s="541">
        <f>IF(Z60_2="","",IF(Scale_Unit="Scale Graduations (in³)",((Z60_2-Nom_Val*'Water Compressability'!C46)*231-B26)/231,IF(Scale_Unit="Scale Graduations (mL)",((Z60_2-Nom_Val*'Water Compressability'!C46)*1000-B26)/1000,Z60_2-Nom_Val*'Water Compressability'!C46-B26)))</f>
      </c>
      <c r="F26" s="540">
        <f t="shared" si="1"/>
      </c>
      <c r="H26"/>
      <c r="J26" s="56"/>
    </row>
    <row r="27" spans="1:10" ht="15.75">
      <c r="A27" s="542">
        <v>60</v>
      </c>
      <c r="B27" s="541">
        <f>IF(Z60_2="","",(($B$31-$B$26)/5)+B26)</f>
      </c>
      <c r="C27" s="541">
        <f>IF(Z60_2="","",IF(Scale_Unit="Scale Graduations (in³)",$B$31-B27+('Water Compressability'!$D$39*Nom_Val*231)*((100-A27)/100),IF(Scale_Unit="Scale Graduations (mL)",$B$31-B27+('Water Compressability'!$D$39*Nom_Val*1000)*((100-A27)/100),$B$31-B27+('Water Compressability'!$D$39*Nom_Val)*((100-A27)/100))))</f>
      </c>
      <c r="D27" s="540">
        <f t="shared" si="0"/>
      </c>
      <c r="E27" s="541">
        <f>IF(Z60_2="","",IF(Scale_Unit="Scale Graduations (in³)",((Z60_2-Nom_Val*'Water Compressability'!C47)*231-B27)/231,IF(Scale_Unit="Scale Graduations (mL)",((Z60_2-Nom_Val*'Water Compressability'!C47)*1000-B27)/1000,Z60_2-Nom_Val*'Water Compressability'!C47-B27)))</f>
      </c>
      <c r="F27" s="540">
        <f t="shared" si="1"/>
      </c>
      <c r="H27"/>
      <c r="J27" s="56"/>
    </row>
    <row r="28" spans="1:10" ht="15.75">
      <c r="A28" s="542">
        <v>70</v>
      </c>
      <c r="B28" s="541">
        <f>IF(Z60_2="","",(($B$31-$B$26)/5)+B27)</f>
      </c>
      <c r="C28" s="541">
        <f>IF(Z60_2="","",IF(Scale_Unit="Scale Graduations (in³)",$B$31-B28+('Water Compressability'!$D$39*Nom_Val*231)*((100-A28)/100),IF(Scale_Unit="Scale Graduations (mL)",$B$31-B28+('Water Compressability'!$D$39*Nom_Val*1000)*((100-A28)/100),$B$31-B28+('Water Compressability'!$D$39*Nom_Val)*((100-A28)/100))))</f>
      </c>
      <c r="D28" s="540">
        <f t="shared" si="0"/>
      </c>
      <c r="E28" s="541">
        <f>IF(Z60_2="","",IF(Scale_Unit="Scale Graduations (in³)",((Z60_2-Nom_Val*'Water Compressability'!C48)*231-B28)/231,IF(Scale_Unit="Scale Graduations (mL)",((Z60_2-Nom_Val*'Water Compressability'!C48)*1000-B28)/1000,Z60_2-Nom_Val*'Water Compressability'!C48-B28)))</f>
      </c>
      <c r="F28" s="540">
        <f t="shared" si="1"/>
      </c>
      <c r="H28"/>
      <c r="J28" s="56"/>
    </row>
    <row r="29" spans="1:10" ht="15.75">
      <c r="A29" s="542">
        <v>80</v>
      </c>
      <c r="B29" s="541">
        <f>IF(Z60_2="","",(($B$31-$B$26)/5)+B28)</f>
      </c>
      <c r="C29" s="541">
        <f>IF(Z60_2="","",IF(Scale_Unit="Scale Graduations (in³)",$B$31-B29+('Water Compressability'!$D$39*Nom_Val*231)*((100-A29)/100),IF(Scale_Unit="Scale Graduations (mL)",$B$31-B29+('Water Compressability'!$D$39*Nom_Val*1000)*((100-A29)/100),$B$31-B29+('Water Compressability'!$D$39*Nom_Val)*((100-A29)/100))))</f>
      </c>
      <c r="D29" s="540">
        <f t="shared" si="0"/>
      </c>
      <c r="E29" s="541">
        <f>IF(Z60_2="","",IF(Scale_Unit="Scale Graduations (in³)",((Z60_2-Nom_Val*'Water Compressability'!C49)*231-B29)/231,IF(Scale_Unit="Scale Graduations (mL)",((Z60_2-Nom_Val*'Water Compressability'!C49)*1000-B29)/1000,Z60_2-Nom_Val*'Water Compressability'!C49-B29)))</f>
      </c>
      <c r="F29" s="540">
        <f t="shared" si="1"/>
      </c>
      <c r="H29"/>
      <c r="J29" s="56"/>
    </row>
    <row r="30" spans="1:10" ht="15.75">
      <c r="A30" s="542">
        <v>90</v>
      </c>
      <c r="B30" s="541">
        <f>IF(Z60_2="","",(($B$31-$B$26)/5)+B29)</f>
      </c>
      <c r="C30" s="541">
        <f>IF(Z60_2="","",IF(Scale_Unit="Scale Graduations (in³)",$B$31-B30+('Water Compressability'!$D$39*Nom_Val*231)*((100-A30)/100),IF(Scale_Unit="Scale Graduations (mL)",$B$31-B30+('Water Compressability'!$D$39*Nom_Val*1000)*((100-A30)/100),$B$31-B30+('Water Compressability'!$D$39*Nom_Val)*((100-A30)/100))))</f>
      </c>
      <c r="D30" s="540">
        <f t="shared" si="0"/>
      </c>
      <c r="E30" s="541">
        <f>IF(Z60_2="","",IF(Scale_Unit="Scale Graduations (in³)",((Z60_2-Nom_Val*'Water Compressability'!C50)*231-B30)/231,IF(Scale_Unit="Scale Graduations (mL)",((Z60_2-Nom_Val*'Water Compressability'!C50)*1000-B30)/1000,Z60_2-Nom_Val*'Water Compressability'!C50-B30)))</f>
      </c>
      <c r="F30" s="540">
        <f t="shared" si="1"/>
      </c>
      <c r="H30"/>
      <c r="J30" s="56"/>
    </row>
    <row r="31" spans="1:10" ht="13.5">
      <c r="A31" s="542">
        <v>100</v>
      </c>
      <c r="B31" s="541">
        <f>IF(Z60_2="","",'Prover Data Entry'!E102)</f>
      </c>
      <c r="C31" s="541">
        <f>IF(Z60_2="","",IF(Scale_Unit="Scale Graduations (in³)",$B$31-B31+('Water Compressability'!$D$39*Nom_Val*231)*((100-A31)/100),IF(Scale_Unit="Scale Graduations (mL)",$B$31-B31+('Water Compressability'!$D$39*Nom_Val*1000)*((100-A31)/100),$B$31-B31+('Water Compressability'!$D$39*Nom_Val)*((100-A31)/100))))</f>
      </c>
      <c r="D31" s="540">
        <f t="shared" si="0"/>
      </c>
      <c r="E31" s="541">
        <f>IF(Z60_2="","",IF(Scale_Unit="Scale Graduations (in³)",((Z60_2-Nom_Val*'Water Compressability'!C51)*231-B31)/231,IF(Scale_Unit="Scale Graduations (mL)",((Z60_2-Nom_Val*'Water Compressability'!C51)*1000-B31)/1000,Z60_2-Nom_Val*'Water Compressability'!C51-B31)))</f>
      </c>
      <c r="F31" s="540">
        <f t="shared" si="1"/>
      </c>
      <c r="H31" s="94"/>
      <c r="J31" s="56"/>
    </row>
    <row r="32" spans="1:10" ht="15.75">
      <c r="A32" s="542">
        <v>110</v>
      </c>
      <c r="B32" s="541">
        <f>IF(Z60_2="","",(($B$36-$B$31)/5)+B31)</f>
      </c>
      <c r="C32" s="541">
        <f>IF(Z60_2="","",IF(Scale_Unit="Scale Graduations (in³)",$B$31-B32+('Water Compressability'!$D$39*Nom_Val*231)*((100-A32)/100),IF(Scale_Unit="Scale Graduations (mL)",$B$31-B32+('Water Compressability'!$D$39*Nom_Val*1000)*((100-A32)/100),$B$31-B32+('Water Compressability'!$D$39*Nom_Val)*((100-A32)/100))))</f>
      </c>
      <c r="D32" s="540">
        <f t="shared" si="0"/>
      </c>
      <c r="E32" s="541">
        <f>IF(Z60_2="","",IF(Scale_Unit="Scale Graduations (in³)",((Z60_2-Nom_Val*'Water Compressability'!C52)*231-B32)/231,IF(Scale_Unit="Scale Graduations (mL)",((Z60_2-Nom_Val*'Water Compressability'!C52)*1000-B32)/1000,Z60_2-Nom_Val*'Water Compressability'!C52-B32)))</f>
      </c>
      <c r="F32" s="540">
        <f t="shared" si="1"/>
      </c>
      <c r="H32"/>
      <c r="J32" s="56"/>
    </row>
    <row r="33" spans="1:10" ht="15.75">
      <c r="A33" s="542">
        <v>120</v>
      </c>
      <c r="B33" s="541">
        <f>IF(Z60_2="","",(($B$36-$B$31)/5)+B32)</f>
      </c>
      <c r="C33" s="541">
        <f>IF(Z60_2="","",IF(Scale_Unit="Scale Graduations (in³)",$B$31-B33+('Water Compressability'!$D$39*Nom_Val*231)*((100-A33)/100),IF(Scale_Unit="Scale Graduations (mL)",$B$31-B33+('Water Compressability'!$D$39*Nom_Val*1000)*((100-A33)/100),$B$31-B33+('Water Compressability'!$D$39*Nom_Val)*((100-A33)/100))))</f>
      </c>
      <c r="D33" s="540">
        <f t="shared" si="0"/>
      </c>
      <c r="E33" s="541">
        <f>IF(Z60_2="","",IF(Scale_Unit="Scale Graduations (in³)",((Z60_2-Nom_Val*'Water Compressability'!C53)*231-B33)/231,IF(Scale_Unit="Scale Graduations (mL)",((Z60_2-Nom_Val*'Water Compressability'!C53)*1000-B33)/1000,Z60_2-Nom_Val*'Water Compressability'!C53-B33)))</f>
      </c>
      <c r="F33" s="540">
        <f t="shared" si="1"/>
      </c>
      <c r="H33"/>
      <c r="J33" s="56"/>
    </row>
    <row r="34" spans="1:10" ht="15.75">
      <c r="A34" s="542">
        <v>130</v>
      </c>
      <c r="B34" s="541">
        <f>IF(Z60_2="","",(($B$36-$B$31)/5)+B33)</f>
      </c>
      <c r="C34" s="541">
        <f>IF(Z60_2="","",IF(Scale_Unit="Scale Graduations (in³)",$B$31-B34+('Water Compressability'!$D$39*Nom_Val*231)*((100-A34)/100),IF(Scale_Unit="Scale Graduations (mL)",$B$31-B34+('Water Compressability'!$D$39*Nom_Val*1000)*((100-A34)/100),$B$31-B34+('Water Compressability'!$D$39*Nom_Val)*((100-A34)/100))))</f>
      </c>
      <c r="D34" s="540">
        <f t="shared" si="0"/>
      </c>
      <c r="E34" s="541">
        <f>IF(Z60_2="","",IF(Scale_Unit="Scale Graduations (in³)",((Z60_2-Nom_Val*'Water Compressability'!C54)*231-B34)/231,IF(Scale_Unit="Scale Graduations (mL)",((Z60_2-Nom_Val*'Water Compressability'!C54)*1000-B34)/1000,Z60_2-Nom_Val*'Water Compressability'!C54-B34)))</f>
      </c>
      <c r="F34" s="540">
        <f t="shared" si="1"/>
      </c>
      <c r="H34"/>
      <c r="J34" s="56"/>
    </row>
    <row r="35" spans="1:10" ht="15.75">
      <c r="A35" s="542">
        <v>140</v>
      </c>
      <c r="B35" s="541">
        <f>IF(Z60_2="","",(($B$36-$B$31)/5)+B34)</f>
      </c>
      <c r="C35" s="541">
        <f>IF(Z60_2="","",IF(Scale_Unit="Scale Graduations (in³)",$B$31-B35+('Water Compressability'!$D$39*Nom_Val*231)*((100-A35)/100),IF(Scale_Unit="Scale Graduations (mL)",$B$31-B35+('Water Compressability'!$D$39*Nom_Val*1000)*((100-A35)/100),$B$31-B35+('Water Compressability'!$D$39*Nom_Val)*((100-A35)/100))))</f>
      </c>
      <c r="D35" s="540">
        <f t="shared" si="0"/>
      </c>
      <c r="E35" s="541">
        <f>IF(Z60_2="","",IF(Scale_Unit="Scale Graduations (in³)",((Z60_2-Nom_Val*'Water Compressability'!C55)*231-B35)/231,IF(Scale_Unit="Scale Graduations (mL)",((Z60_2-Nom_Val*'Water Compressability'!C55)*1000-B35)/1000,Z60_2-Nom_Val*'Water Compressability'!C55-B35)))</f>
      </c>
      <c r="F35" s="540">
        <f t="shared" si="1"/>
      </c>
      <c r="H35"/>
      <c r="J35" s="56"/>
    </row>
    <row r="36" spans="1:10" ht="15.75">
      <c r="A36" s="542">
        <v>150</v>
      </c>
      <c r="B36" s="541">
        <f>IF(Z60_2="","",'Prover Data Entry'!E103)</f>
      </c>
      <c r="C36" s="541">
        <f>IF(Z60_2="","",IF(Scale_Unit="Scale Graduations (in³)",$B$31-B36+('Water Compressability'!$D$39*Nom_Val*231)*((100-A36)/100),IF(Scale_Unit="Scale Graduations (mL)",$B$31-B36+('Water Compressability'!$D$39*Nom_Val*1000)*((100-A36)/100),$B$31-B36+('Water Compressability'!$D$39*Nom_Val)*((100-A36)/100))))</f>
      </c>
      <c r="D36" s="540">
        <f t="shared" si="0"/>
      </c>
      <c r="E36" s="541">
        <f>IF(Z60_2="","",IF(Scale_Unit="Scale Graduations (in³)",((Z60_2-Nom_Val*'Water Compressability'!C56)*231-B36)/231,IF(Scale_Unit="Scale Graduations (mL)",((Z60_2-Nom_Val*'Water Compressability'!C56)*1000-B36)/1000,Z60_2-Nom_Val*'Water Compressability'!C56-B36)))</f>
      </c>
      <c r="F36" s="540">
        <f t="shared" si="1"/>
      </c>
      <c r="H36"/>
      <c r="J36" s="56"/>
    </row>
    <row r="37" spans="1:10" ht="15.75">
      <c r="A37" s="542">
        <v>160</v>
      </c>
      <c r="B37" s="541">
        <f>IF(Z60_2="","",(($B$41-$B$36)/5)+B36)</f>
      </c>
      <c r="C37" s="541">
        <f>IF(Z60_2="","",IF(Scale_Unit="Scale Graduations (in³)",$B$31-B37+('Water Compressability'!$D$39*Nom_Val*231)*((100-A37)/100),IF(Scale_Unit="Scale Graduations (mL)",$B$31-B37+('Water Compressability'!$D$39*Nom_Val*1000)*((100-A37)/100),$B$31-B37+('Water Compressability'!$D$39*Nom_Val)*((100-A37)/100))))</f>
      </c>
      <c r="D37" s="540">
        <f t="shared" si="0"/>
      </c>
      <c r="E37" s="541">
        <f>IF(Z60_2="","",IF(Scale_Unit="Scale Graduations (in³)",((Z60_2-Nom_Val*'Water Compressability'!C57)*231-B37)/231,IF(Scale_Unit="Scale Graduations (mL)",((Z60_2-Nom_Val*'Water Compressability'!C57)*1000-B37)/1000,Z60_2-Nom_Val*'Water Compressability'!C57-B37)))</f>
      </c>
      <c r="F37" s="540">
        <f t="shared" si="1"/>
      </c>
      <c r="H37"/>
      <c r="J37" s="56"/>
    </row>
    <row r="38" spans="1:10" ht="15.75">
      <c r="A38" s="542">
        <v>170</v>
      </c>
      <c r="B38" s="541">
        <f>IF(Z60_2="","",(($B$41-$B$36)/5)+B37)</f>
      </c>
      <c r="C38" s="541">
        <f>IF(Z60_2="","",IF(Scale_Unit="Scale Graduations (in³)",$B$31-B38+('Water Compressability'!$D$39*Nom_Val*231)*((100-A38)/100),IF(Scale_Unit="Scale Graduations (mL)",$B$31-B38+('Water Compressability'!$D$39*Nom_Val*1000)*((100-A38)/100),$B$31-B38+('Water Compressability'!$D$39*Nom_Val)*((100-A38)/100))))</f>
      </c>
      <c r="D38" s="540">
        <f t="shared" si="0"/>
      </c>
      <c r="E38" s="541">
        <f>IF(Z60_2="","",IF(Scale_Unit="Scale Graduations (in³)",((Z60_2-Nom_Val*'Water Compressability'!C58)*231-B38)/231,IF(Scale_Unit="Scale Graduations (mL)",((Z60_2-Nom_Val*'Water Compressability'!C58)*1000-B38)/1000,Z60_2-Nom_Val*'Water Compressability'!C58-B38)))</f>
      </c>
      <c r="F38" s="540">
        <f t="shared" si="1"/>
      </c>
      <c r="H38"/>
      <c r="J38" s="56"/>
    </row>
    <row r="39" spans="1:10" ht="15.75">
      <c r="A39" s="542">
        <v>180</v>
      </c>
      <c r="B39" s="541">
        <f>IF(Z60_2="","",(($B$41-$B$36)/5)+B38)</f>
      </c>
      <c r="C39" s="541">
        <f>IF(Z60_2="","",IF(Scale_Unit="Scale Graduations (in³)",$B$31-B39+('Water Compressability'!$D$39*Nom_Val*231)*((100-A39)/100),IF(Scale_Unit="Scale Graduations (mL)",$B$31-B39+('Water Compressability'!$D$39*Nom_Val*1000)*((100-A39)/100),$B$31-B39+('Water Compressability'!$D$39*Nom_Val)*((100-A39)/100))))</f>
      </c>
      <c r="D39" s="540">
        <f t="shared" si="0"/>
      </c>
      <c r="E39" s="541">
        <f>IF(Z60_2="","",IF(Scale_Unit="Scale Graduations (in³)",((Z60_2-Nom_Val*'Water Compressability'!C59)*231-B39)/231,IF(Scale_Unit="Scale Graduations (mL)",((Z60_2-Nom_Val*'Water Compressability'!C59)*1000-B39)/1000,Z60_2-Nom_Val*'Water Compressability'!C59-B39)))</f>
      </c>
      <c r="F39" s="540">
        <f t="shared" si="1"/>
      </c>
      <c r="H39"/>
      <c r="J39" s="56"/>
    </row>
    <row r="40" spans="1:10" ht="15.75">
      <c r="A40" s="542">
        <v>190</v>
      </c>
      <c r="B40" s="541">
        <f>IF(Z60_2="","",(($B$41-$B$36)/5)+B39)</f>
      </c>
      <c r="C40" s="541">
        <f>IF(Z60_2="","",IF(Scale_Unit="Scale Graduations (in³)",$B$31-B40+('Water Compressability'!$D$39*Nom_Val*231)*((100-A40)/100),IF(Scale_Unit="Scale Graduations (mL)",$B$31-B40+('Water Compressability'!$D$39*Nom_Val*1000)*((100-A40)/100),$B$31-B40+('Water Compressability'!$D$39*Nom_Val)*((100-A40)/100))))</f>
      </c>
      <c r="D40" s="540">
        <f t="shared" si="0"/>
      </c>
      <c r="E40" s="541">
        <f>IF(Z60_2="","",IF(Scale_Unit="Scale Graduations (in³)",((Z60_2-Nom_Val*'Water Compressability'!C60)*231-B40)/231,IF(Scale_Unit="Scale Graduations (mL)",((Z60_2-Nom_Val*'Water Compressability'!C60)*1000-B40)/1000,Z60_2-Nom_Val*'Water Compressability'!C60-B40)))</f>
      </c>
      <c r="F40" s="540">
        <f t="shared" si="1"/>
      </c>
      <c r="H40"/>
      <c r="J40" s="56"/>
    </row>
    <row r="41" spans="1:10" ht="15.75">
      <c r="A41" s="543">
        <v>200</v>
      </c>
      <c r="B41" s="541">
        <f>IF(Z60_2="","",'Prover Data Entry'!E104)</f>
      </c>
      <c r="C41" s="541">
        <f>IF(Z60_2="","",IF(Scale_Unit="Scale Graduations (in³)",$B$31-B41+('Water Compressability'!$D$39*Nom_Val*231)*((100-A41)/100),IF(Scale_Unit="Scale Graduations (mL)",$B$31-B41+('Water Compressability'!$D$39*Nom_Val*1000)*((100-A41)/100),$B$31-B41+('Water Compressability'!$D$39*Nom_Val)*((100-A41)/100))))</f>
      </c>
      <c r="D41" s="540">
        <f t="shared" si="0"/>
      </c>
      <c r="E41" s="541">
        <f>IF(Z60_2="","",IF(Scale_Unit="Scale Graduations (in³)",((Z60_2-Nom_Val*'Water Compressability'!C61)*231-B41)/231,IF(Scale_Unit="Scale Graduations (mL)",((Z60_2-Nom_Val*'Water Compressability'!C61)*1000-B41)/1000,Z60_2-Nom_Val*'Water Compressability'!C61-B41)))</f>
      </c>
      <c r="F41" s="540">
        <f t="shared" si="1"/>
      </c>
      <c r="H41"/>
      <c r="J41" s="56"/>
    </row>
    <row r="42" spans="1:10" ht="15">
      <c r="A42" s="48"/>
      <c r="B42" s="24"/>
      <c r="C42" s="24"/>
      <c r="D42" s="24"/>
      <c r="E42" s="24"/>
      <c r="F42" s="24"/>
      <c r="G42" s="24"/>
      <c r="J42" s="22"/>
    </row>
    <row r="43" spans="1:10" ht="15" hidden="1">
      <c r="A43" s="48"/>
      <c r="B43" s="24"/>
      <c r="C43" s="24"/>
      <c r="D43" s="24"/>
      <c r="E43" s="24"/>
      <c r="F43" s="24"/>
      <c r="G43" s="24"/>
      <c r="J43" s="22"/>
    </row>
    <row r="44" ht="12.75" hidden="1"/>
    <row r="45" ht="12.75" hidden="1"/>
    <row r="46" spans="3:4" ht="15.75" hidden="1">
      <c r="C46"/>
      <c r="D46"/>
    </row>
    <row r="47" spans="3:4" ht="15.75" hidden="1">
      <c r="C47"/>
      <c r="D47"/>
    </row>
    <row r="48" spans="3:4" ht="15.75" hidden="1">
      <c r="C48"/>
      <c r="D48"/>
    </row>
    <row r="49" spans="3:4" ht="15.75" hidden="1">
      <c r="C49"/>
      <c r="D49"/>
    </row>
    <row r="50" spans="3:4" ht="15.75" hidden="1">
      <c r="C50"/>
      <c r="D50"/>
    </row>
    <row r="51" spans="3:4" ht="15.75" hidden="1">
      <c r="C51"/>
      <c r="D51"/>
    </row>
    <row r="52" spans="3:4" ht="15.75" hidden="1">
      <c r="C52"/>
      <c r="D52"/>
    </row>
    <row r="53" spans="3:4" ht="15.75" hidden="1">
      <c r="C53"/>
      <c r="D53"/>
    </row>
    <row r="54" spans="3:4" ht="15.75" hidden="1">
      <c r="C54"/>
      <c r="D54"/>
    </row>
    <row r="55" spans="3:4" ht="15.75" hidden="1">
      <c r="C55"/>
      <c r="D55"/>
    </row>
    <row r="56" spans="3:4" ht="15.75" hidden="1">
      <c r="C56"/>
      <c r="D56"/>
    </row>
    <row r="57" spans="3:4" ht="15.75" hidden="1">
      <c r="C57"/>
      <c r="D57"/>
    </row>
    <row r="58" spans="3:4" ht="15.75" hidden="1">
      <c r="C58"/>
      <c r="D58"/>
    </row>
    <row r="59" spans="3:4" ht="15.75" hidden="1">
      <c r="C59"/>
      <c r="D59"/>
    </row>
    <row r="60" spans="3:4" ht="15.75" hidden="1">
      <c r="C60"/>
      <c r="D60"/>
    </row>
    <row r="61" spans="3:4" ht="15.75" hidden="1">
      <c r="C61"/>
      <c r="D61"/>
    </row>
    <row r="62" spans="3:4" ht="15.75" hidden="1">
      <c r="C62"/>
      <c r="D62"/>
    </row>
    <row r="63" spans="3:4" ht="15.75" hidden="1">
      <c r="C63"/>
      <c r="D63"/>
    </row>
    <row r="64" spans="3:4" ht="15.75" hidden="1">
      <c r="C64"/>
      <c r="D64"/>
    </row>
    <row r="65" spans="3:4" ht="15.75" hidden="1">
      <c r="C65"/>
      <c r="D65"/>
    </row>
    <row r="66" spans="3:4" ht="15.75" hidden="1">
      <c r="C66"/>
      <c r="D66"/>
    </row>
    <row r="67" spans="3:4" ht="15.75" hidden="1">
      <c r="C67"/>
      <c r="D67"/>
    </row>
    <row r="68" spans="3:4" ht="15.75" hidden="1">
      <c r="C68"/>
      <c r="D68"/>
    </row>
  </sheetData>
  <sheetProtection password="83AF" sheet="1" objects="1" scenarios="1" selectLockedCells="1" selectUnlockedCells="1"/>
  <mergeCells count="1">
    <mergeCell ref="C9:F9"/>
  </mergeCells>
  <printOptions/>
  <pageMargins left="0.5" right="0.5" top="1.25" bottom="0.75" header="0.75" footer="0.5"/>
  <pageSetup horizontalDpi="600" verticalDpi="600" orientation="portrait" scale="90" r:id="rId4"/>
  <headerFooter alignWithMargins="0">
    <oddHeader>&amp;L&amp;"Trebuchet MS,Regular"Calibration of LPG Provers&amp;R&amp;"Trebuchet MS,Regular"WAMRF-014, Rev. 29, 10/22/2014</oddHeader>
    <oddFooter>&amp;L&amp;"Trebuchet MS,Regular"&amp;F&amp;R&amp;"Trebuchet MS,Regular"&amp;A Worksheet Page &amp;P of &amp;N</oddFooter>
  </headerFooter>
  <legacyDrawing r:id="rId3"/>
  <oleObjects>
    <oleObject progId="Equation.3" shapeId="12334722" r:id="rId1"/>
    <oleObject progId="Equation.3" shapeId="414989" r:id="rId2"/>
  </oleObjects>
</worksheet>
</file>

<file path=xl/worksheets/sheet12.xml><?xml version="1.0" encoding="utf-8"?>
<worksheet xmlns="http://schemas.openxmlformats.org/spreadsheetml/2006/main" xmlns:r="http://schemas.openxmlformats.org/officeDocument/2006/relationships">
  <sheetPr>
    <tabColor indexed="20"/>
  </sheetPr>
  <dimension ref="A1:I65"/>
  <sheetViews>
    <sheetView showGridLines="0" zoomScalePageLayoutView="0" workbookViewId="0" topLeftCell="A1">
      <selection activeCell="A1" sqref="A1"/>
    </sheetView>
  </sheetViews>
  <sheetFormatPr defaultColWidth="0" defaultRowHeight="15.75" zeroHeight="1"/>
  <cols>
    <col min="1" max="5" width="15.77734375" style="69" customWidth="1"/>
    <col min="6" max="6" width="3.77734375" style="69" customWidth="1"/>
    <col min="7" max="7" width="15.4453125" style="69" hidden="1" customWidth="1"/>
    <col min="8" max="16384" width="7.99609375" style="69" hidden="1" customWidth="1"/>
  </cols>
  <sheetData>
    <row r="1" spans="1:5" ht="19.5" customHeight="1" thickBot="1">
      <c r="A1" s="68" t="s">
        <v>475</v>
      </c>
      <c r="B1" s="68"/>
      <c r="C1" s="68"/>
      <c r="D1" s="68"/>
      <c r="E1" s="66">
        <f>IF(RptNo="","","Report Number: "&amp;RptNo)</f>
      </c>
    </row>
    <row r="2" ht="12" customHeight="1"/>
    <row r="3" spans="1:5" ht="17.25" thickBot="1">
      <c r="A3" s="70" t="s">
        <v>476</v>
      </c>
      <c r="B3" s="71"/>
      <c r="C3" s="71"/>
      <c r="D3" s="71"/>
      <c r="E3" s="71"/>
    </row>
    <row r="4" spans="1:5" ht="48" customHeight="1">
      <c r="A4" s="803" t="s">
        <v>477</v>
      </c>
      <c r="B4" s="803"/>
      <c r="C4" s="803"/>
      <c r="D4" s="803"/>
      <c r="E4" s="803"/>
    </row>
    <row r="5" spans="1:5" ht="17.25">
      <c r="A5" s="76" t="s">
        <v>108</v>
      </c>
      <c r="B5" s="77" t="s">
        <v>114</v>
      </c>
      <c r="C5"/>
      <c r="D5"/>
      <c r="E5"/>
    </row>
    <row r="6" spans="1:5" ht="15.75">
      <c r="A6" s="76" t="s">
        <v>108</v>
      </c>
      <c r="B6" s="81">
        <f>IF(D34="","",0.0000005083101-0.00000000368293*D34+0.00000000007263725*D34^2-0.0000000000006597702*D34^3+0.00000000000000287767*D34^4)</f>
      </c>
      <c r="C6" s="84"/>
      <c r="D6" s="84"/>
      <c r="E6" s="84"/>
    </row>
    <row r="7" spans="1:5" ht="15.75">
      <c r="A7" s="76"/>
      <c r="B7" s="81"/>
      <c r="C7" s="84"/>
      <c r="D7" s="84"/>
      <c r="E7" s="84"/>
    </row>
    <row r="8" spans="1:5" ht="15.75">
      <c r="A8" s="85" t="s">
        <v>37</v>
      </c>
      <c r="B8" s="73"/>
      <c r="C8" s="84"/>
      <c r="D8" s="84"/>
      <c r="E8" s="84"/>
    </row>
    <row r="9" spans="2:5" ht="15.75">
      <c r="B9" s="86" t="s">
        <v>106</v>
      </c>
      <c r="C9" s="84"/>
      <c r="D9" s="84"/>
      <c r="E9" s="84"/>
    </row>
    <row r="10" spans="1:5" ht="15.75">
      <c r="A10" s="77"/>
      <c r="B10" s="84"/>
      <c r="C10" s="84"/>
      <c r="D10" s="84"/>
      <c r="E10" s="84"/>
    </row>
    <row r="11" spans="1:5" ht="16.5">
      <c r="A11" s="88" t="s">
        <v>478</v>
      </c>
      <c r="B11" s="89"/>
      <c r="C11" s="89"/>
      <c r="D11" s="89"/>
      <c r="E11" s="89"/>
    </row>
    <row r="12" spans="1:5" ht="15.75">
      <c r="A12" s="76" t="s">
        <v>109</v>
      </c>
      <c r="B12" s="81">
        <f>IF(B6="","",B6*D36/1000)</f>
      </c>
      <c r="C12" s="84"/>
      <c r="D12" s="84"/>
      <c r="E12" s="84"/>
    </row>
    <row r="13" spans="1:5" ht="15.75" customHeight="1">
      <c r="A13" s="805" t="s">
        <v>115</v>
      </c>
      <c r="B13" s="805"/>
      <c r="C13" s="805"/>
      <c r="D13" s="805"/>
      <c r="E13" s="805"/>
    </row>
    <row r="14" spans="1:5" ht="12" customHeight="1">
      <c r="A14" s="90"/>
      <c r="B14" s="90"/>
      <c r="C14" s="90"/>
      <c r="D14" s="90"/>
      <c r="E14" s="90"/>
    </row>
    <row r="15" spans="1:5" ht="16.5">
      <c r="A15" s="88" t="s">
        <v>113</v>
      </c>
      <c r="B15" s="91"/>
      <c r="C15" s="91"/>
      <c r="D15" s="91"/>
      <c r="E15" s="91"/>
    </row>
    <row r="16" spans="1:2" ht="16.5">
      <c r="A16" s="87" t="s">
        <v>116</v>
      </c>
      <c r="B16" s="73"/>
    </row>
    <row r="17" spans="1:5" ht="12" customHeight="1">
      <c r="A17" s="72"/>
      <c r="B17" s="72"/>
      <c r="C17" s="72"/>
      <c r="D17" s="72"/>
      <c r="E17" s="72"/>
    </row>
    <row r="18" spans="1:5" ht="16.5">
      <c r="A18" s="88" t="s">
        <v>112</v>
      </c>
      <c r="B18" s="92"/>
      <c r="C18" s="91"/>
      <c r="D18" s="91"/>
      <c r="E18" s="91"/>
    </row>
    <row r="19" spans="1:3" ht="16.5">
      <c r="A19" s="87" t="s">
        <v>104</v>
      </c>
      <c r="B19" s="74"/>
      <c r="C19" s="73"/>
    </row>
    <row r="20" spans="1:5" ht="12" customHeight="1">
      <c r="A20" s="72"/>
      <c r="B20" s="72"/>
      <c r="C20" s="72"/>
      <c r="D20" s="72"/>
      <c r="E20" s="72"/>
    </row>
    <row r="21" spans="1:3" ht="15.75">
      <c r="A21" s="75" t="s">
        <v>37</v>
      </c>
      <c r="B21" s="73"/>
      <c r="C21" s="73"/>
    </row>
    <row r="22" spans="1:3" ht="15.75">
      <c r="A22" s="76" t="s">
        <v>94</v>
      </c>
      <c r="B22" s="77" t="s">
        <v>151</v>
      </c>
      <c r="C22" s="73"/>
    </row>
    <row r="23" spans="1:3" ht="15.75">
      <c r="A23" s="76" t="s">
        <v>105</v>
      </c>
      <c r="B23" s="77" t="s">
        <v>479</v>
      </c>
      <c r="C23" s="73"/>
    </row>
    <row r="24" spans="1:3" ht="15.75">
      <c r="A24" s="76" t="s">
        <v>95</v>
      </c>
      <c r="B24" s="77" t="s">
        <v>96</v>
      </c>
      <c r="C24" s="73"/>
    </row>
    <row r="25" spans="1:5" ht="12" customHeight="1">
      <c r="A25" s="72"/>
      <c r="B25" s="72"/>
      <c r="C25" s="72"/>
      <c r="D25" s="72"/>
      <c r="E25" s="72"/>
    </row>
    <row r="26" spans="1:5" ht="17.25" thickBot="1">
      <c r="A26" s="70" t="s">
        <v>669</v>
      </c>
      <c r="B26" s="78"/>
      <c r="C26" s="79"/>
      <c r="D26" s="71"/>
      <c r="E26" s="71"/>
    </row>
    <row r="27" spans="1:4" ht="16.5">
      <c r="A27" s="810" t="s">
        <v>97</v>
      </c>
      <c r="B27" s="810"/>
      <c r="C27" s="530" t="s">
        <v>98</v>
      </c>
      <c r="D27" s="530" t="s">
        <v>99</v>
      </c>
    </row>
    <row r="28" spans="1:4" ht="16.5">
      <c r="A28" s="804" t="s">
        <v>100</v>
      </c>
      <c r="B28" s="804"/>
      <c r="C28" s="526" t="s">
        <v>480</v>
      </c>
      <c r="D28" s="527">
        <v>101325</v>
      </c>
    </row>
    <row r="29" spans="1:4" ht="16.5">
      <c r="A29" s="804" t="s">
        <v>107</v>
      </c>
      <c r="B29" s="804"/>
      <c r="C29" s="526" t="s">
        <v>481</v>
      </c>
      <c r="D29" s="528">
        <v>6894.757</v>
      </c>
    </row>
    <row r="30" spans="1:4" ht="16.5">
      <c r="A30" s="804" t="s">
        <v>503</v>
      </c>
      <c r="B30" s="804"/>
      <c r="C30" s="526" t="s">
        <v>481</v>
      </c>
      <c r="D30" s="529">
        <v>133.322</v>
      </c>
    </row>
    <row r="31" spans="1:5" ht="12" customHeight="1">
      <c r="A31" s="72"/>
      <c r="B31" s="72"/>
      <c r="C31" s="72"/>
      <c r="D31" s="72"/>
      <c r="E31" s="72"/>
    </row>
    <row r="32" spans="1:5" ht="17.25" thickBot="1">
      <c r="A32" s="70" t="s">
        <v>101</v>
      </c>
      <c r="B32" s="80"/>
      <c r="C32" s="79"/>
      <c r="D32" s="71"/>
      <c r="E32" s="71"/>
    </row>
    <row r="33" spans="1:4" ht="15.75">
      <c r="A33" s="811" t="str">
        <f>NomValUnit&amp;" ="</f>
        <v> =</v>
      </c>
      <c r="B33" s="812"/>
      <c r="C33" s="812"/>
      <c r="D33" s="531">
        <f>IF(Nom_Val="","",Nom_Val)</f>
      </c>
    </row>
    <row r="34" spans="1:4" ht="15.75">
      <c r="A34" s="801" t="s">
        <v>172</v>
      </c>
      <c r="B34" s="802"/>
      <c r="C34" s="802"/>
      <c r="D34" s="532">
        <f>IF(RefT="","",IF(RefTempUnit="Designated Reference Temperature For This Calibration (ºF)",(RefT-32)/1.8,RefT))</f>
      </c>
    </row>
    <row r="35" spans="1:4" ht="15.75">
      <c r="A35" s="801" t="s">
        <v>502</v>
      </c>
      <c r="B35" s="802"/>
      <c r="C35" s="802"/>
      <c r="D35" s="533">
        <f>IF(mmHg="","",mmHg)</f>
      </c>
    </row>
    <row r="36" spans="1:4" ht="15.75">
      <c r="A36" s="808" t="s">
        <v>482</v>
      </c>
      <c r="B36" s="809"/>
      <c r="C36" s="809"/>
      <c r="D36" s="532">
        <f>IF(D35="","",D35*D30)</f>
      </c>
    </row>
    <row r="37" spans="1:5" ht="12" customHeight="1">
      <c r="A37" s="72"/>
      <c r="B37" s="72"/>
      <c r="C37" s="72"/>
      <c r="D37" s="72"/>
      <c r="E37" s="72"/>
    </row>
    <row r="38" spans="1:5" ht="16.5">
      <c r="A38" s="114" t="s">
        <v>483</v>
      </c>
      <c r="B38" s="115"/>
      <c r="C38" s="116"/>
      <c r="D38" s="117"/>
      <c r="E38" s="117"/>
    </row>
    <row r="39" spans="1:5" ht="16.5">
      <c r="A39" s="806" t="str">
        <f>IF(NomValUnit="Nominal Volume (L)","Compressability Value per liter at "&amp;mmHg&amp;" mm Hg =","Compressability Value per gallon at "&amp;mmHg&amp;" mm Hg =")</f>
        <v>Compressability Value per gallon at  mm Hg =</v>
      </c>
      <c r="B39" s="807"/>
      <c r="C39" s="807"/>
      <c r="D39" s="534">
        <f>IF(B12="","",$B$12*B51)</f>
      </c>
      <c r="E39" s="535"/>
    </row>
    <row r="40" spans="1:9" ht="15.75">
      <c r="A40" s="536" t="s">
        <v>102</v>
      </c>
      <c r="B40" s="537" t="s">
        <v>103</v>
      </c>
      <c r="C40" s="537" t="s">
        <v>111</v>
      </c>
      <c r="D40" s="537" t="str">
        <f>IF(NomValUnit="Nominal Volume (L)","Wcv (mL)","Wcv (in³)")</f>
        <v>Wcv (in³)</v>
      </c>
      <c r="E40" s="538" t="str">
        <f>IF(NomValUnit="Nominal Volume (L)","Wcv (L)","Wcv (gal)")</f>
        <v>Wcv (gal)</v>
      </c>
      <c r="F40" s="73"/>
      <c r="G40" s="73"/>
      <c r="H40" s="73"/>
      <c r="I40" s="73"/>
    </row>
    <row r="41" spans="1:9" ht="15.75">
      <c r="A41" s="516">
        <v>0</v>
      </c>
      <c r="B41" s="517">
        <f>A41*$D$29/$D$28</f>
        <v>0</v>
      </c>
      <c r="C41" s="517">
        <f>IF($B$12="","",1+$B$12*B41)</f>
      </c>
      <c r="D41" s="517">
        <f aca="true" t="shared" si="0" ref="D41:D61">IF($D$33="","",IF(NomValUnit="Nominal Volume (gal)",$D$33*231*$B$12*B41,$D$33*1000*$B$12*B41))</f>
      </c>
      <c r="E41" s="518">
        <f aca="true" t="shared" si="1" ref="E41:E61">IF(Nom_Val="","",IF(NomValUnit="Nominal Volume (gal)",D41/231,D41/1000))</f>
      </c>
      <c r="F41" s="73"/>
      <c r="G41" s="73"/>
      <c r="H41" s="73"/>
      <c r="I41" s="73"/>
    </row>
    <row r="42" spans="1:9" ht="15.75">
      <c r="A42" s="516">
        <v>10</v>
      </c>
      <c r="B42" s="517">
        <f>A42*$D$29/$D$28</f>
        <v>0.6804596101653095</v>
      </c>
      <c r="C42" s="517">
        <f aca="true" t="shared" si="2" ref="C42:C61">IF($B$12="","",1+$B$12*B42)</f>
      </c>
      <c r="D42" s="517">
        <f t="shared" si="0"/>
      </c>
      <c r="E42" s="519">
        <f t="shared" si="1"/>
      </c>
      <c r="G42" s="73"/>
      <c r="H42" s="73"/>
      <c r="I42" s="82"/>
    </row>
    <row r="43" spans="1:9" ht="15.75">
      <c r="A43" s="520">
        <v>20</v>
      </c>
      <c r="B43" s="521">
        <f aca="true" t="shared" si="3" ref="B43:B61">A43*$D$29/$D$28</f>
        <v>1.360919220330619</v>
      </c>
      <c r="C43" s="521">
        <f t="shared" si="2"/>
      </c>
      <c r="D43" s="521">
        <f t="shared" si="0"/>
      </c>
      <c r="E43" s="522">
        <f t="shared" si="1"/>
      </c>
      <c r="G43" s="73"/>
      <c r="H43" s="73"/>
      <c r="I43" s="73"/>
    </row>
    <row r="44" spans="1:9" ht="15.75">
      <c r="A44" s="520">
        <v>30</v>
      </c>
      <c r="B44" s="521">
        <f t="shared" si="3"/>
        <v>2.041378830495929</v>
      </c>
      <c r="C44" s="521">
        <f t="shared" si="2"/>
      </c>
      <c r="D44" s="521">
        <f t="shared" si="0"/>
      </c>
      <c r="E44" s="522">
        <f t="shared" si="1"/>
      </c>
      <c r="G44" s="73"/>
      <c r="H44" s="73"/>
      <c r="I44" s="73"/>
    </row>
    <row r="45" spans="1:9" ht="15.75">
      <c r="A45" s="520">
        <v>40</v>
      </c>
      <c r="B45" s="521">
        <f t="shared" si="3"/>
        <v>2.721838440661238</v>
      </c>
      <c r="C45" s="521">
        <f t="shared" si="2"/>
      </c>
      <c r="D45" s="521">
        <f t="shared" si="0"/>
      </c>
      <c r="E45" s="522">
        <f t="shared" si="1"/>
      </c>
      <c r="G45" s="73"/>
      <c r="H45" s="73"/>
      <c r="I45" s="73"/>
    </row>
    <row r="46" spans="1:9" ht="15.75">
      <c r="A46" s="520">
        <v>50</v>
      </c>
      <c r="B46" s="521">
        <f t="shared" si="3"/>
        <v>3.402298050826548</v>
      </c>
      <c r="C46" s="521">
        <f t="shared" si="2"/>
      </c>
      <c r="D46" s="521">
        <f t="shared" si="0"/>
      </c>
      <c r="E46" s="522">
        <f t="shared" si="1"/>
      </c>
      <c r="G46" s="73"/>
      <c r="H46" s="73"/>
      <c r="I46" s="73"/>
    </row>
    <row r="47" spans="1:9" ht="15.75">
      <c r="A47" s="520">
        <v>60</v>
      </c>
      <c r="B47" s="521">
        <f t="shared" si="3"/>
        <v>4.082757660991858</v>
      </c>
      <c r="C47" s="521">
        <f t="shared" si="2"/>
      </c>
      <c r="D47" s="521">
        <f t="shared" si="0"/>
      </c>
      <c r="E47" s="522">
        <f t="shared" si="1"/>
      </c>
      <c r="G47" s="73"/>
      <c r="H47" s="73"/>
      <c r="I47" s="73"/>
    </row>
    <row r="48" spans="1:9" ht="15.75">
      <c r="A48" s="520">
        <v>70</v>
      </c>
      <c r="B48" s="521">
        <f t="shared" si="3"/>
        <v>4.763217271157168</v>
      </c>
      <c r="C48" s="521">
        <f t="shared" si="2"/>
      </c>
      <c r="D48" s="521">
        <f t="shared" si="0"/>
      </c>
      <c r="E48" s="522">
        <f t="shared" si="1"/>
      </c>
      <c r="G48" s="73"/>
      <c r="H48" s="73"/>
      <c r="I48" s="73"/>
    </row>
    <row r="49" spans="1:9" ht="15.75">
      <c r="A49" s="520">
        <v>80</v>
      </c>
      <c r="B49" s="521">
        <f t="shared" si="3"/>
        <v>5.443676881322476</v>
      </c>
      <c r="C49" s="521">
        <f t="shared" si="2"/>
      </c>
      <c r="D49" s="521">
        <f t="shared" si="0"/>
      </c>
      <c r="E49" s="522">
        <f t="shared" si="1"/>
      </c>
      <c r="G49" s="73"/>
      <c r="H49" s="73"/>
      <c r="I49" s="73"/>
    </row>
    <row r="50" spans="1:9" ht="15.75">
      <c r="A50" s="520">
        <v>90</v>
      </c>
      <c r="B50" s="521">
        <f t="shared" si="3"/>
        <v>6.1241364914877865</v>
      </c>
      <c r="C50" s="521">
        <f t="shared" si="2"/>
      </c>
      <c r="D50" s="521">
        <f t="shared" si="0"/>
      </c>
      <c r="E50" s="522">
        <f t="shared" si="1"/>
      </c>
      <c r="G50" s="73"/>
      <c r="H50" s="73"/>
      <c r="I50" s="73"/>
    </row>
    <row r="51" spans="1:9" ht="15.75">
      <c r="A51" s="520">
        <v>100</v>
      </c>
      <c r="B51" s="521">
        <f t="shared" si="3"/>
        <v>6.804596101653096</v>
      </c>
      <c r="C51" s="521">
        <f t="shared" si="2"/>
      </c>
      <c r="D51" s="521">
        <f t="shared" si="0"/>
      </c>
      <c r="E51" s="522">
        <f t="shared" si="1"/>
      </c>
      <c r="G51" s="73"/>
      <c r="H51" s="73"/>
      <c r="I51" s="73"/>
    </row>
    <row r="52" spans="1:9" ht="15.75">
      <c r="A52" s="520">
        <v>110</v>
      </c>
      <c r="B52" s="521">
        <f t="shared" si="3"/>
        <v>7.485055711818405</v>
      </c>
      <c r="C52" s="521">
        <f t="shared" si="2"/>
      </c>
      <c r="D52" s="521">
        <f t="shared" si="0"/>
      </c>
      <c r="E52" s="522">
        <f t="shared" si="1"/>
      </c>
      <c r="G52" s="73"/>
      <c r="H52" s="73"/>
      <c r="I52" s="73"/>
    </row>
    <row r="53" spans="1:9" ht="15.75">
      <c r="A53" s="520">
        <v>120</v>
      </c>
      <c r="B53" s="521">
        <f t="shared" si="3"/>
        <v>8.165515321983715</v>
      </c>
      <c r="C53" s="521">
        <f t="shared" si="2"/>
      </c>
      <c r="D53" s="521">
        <f t="shared" si="0"/>
      </c>
      <c r="E53" s="522">
        <f t="shared" si="1"/>
      </c>
      <c r="G53" s="73"/>
      <c r="H53" s="73"/>
      <c r="I53" s="73"/>
    </row>
    <row r="54" spans="1:9" ht="15.75">
      <c r="A54" s="520">
        <v>130</v>
      </c>
      <c r="B54" s="521">
        <f t="shared" si="3"/>
        <v>8.845974932149025</v>
      </c>
      <c r="C54" s="521">
        <f t="shared" si="2"/>
      </c>
      <c r="D54" s="521">
        <f t="shared" si="0"/>
      </c>
      <c r="E54" s="522">
        <f t="shared" si="1"/>
      </c>
      <c r="G54" s="73"/>
      <c r="H54" s="73"/>
      <c r="I54" s="73"/>
    </row>
    <row r="55" spans="1:9" ht="15.75">
      <c r="A55" s="520">
        <v>140</v>
      </c>
      <c r="B55" s="521">
        <f t="shared" si="3"/>
        <v>9.526434542314336</v>
      </c>
      <c r="C55" s="521">
        <f t="shared" si="2"/>
      </c>
      <c r="D55" s="521">
        <f t="shared" si="0"/>
      </c>
      <c r="E55" s="522">
        <f t="shared" si="1"/>
      </c>
      <c r="G55" s="73"/>
      <c r="H55" s="73"/>
      <c r="I55" s="73"/>
    </row>
    <row r="56" spans="1:9" ht="15.75">
      <c r="A56" s="520">
        <v>150</v>
      </c>
      <c r="B56" s="521">
        <f t="shared" si="3"/>
        <v>10.206894152479643</v>
      </c>
      <c r="C56" s="521">
        <f t="shared" si="2"/>
      </c>
      <c r="D56" s="521">
        <f t="shared" si="0"/>
      </c>
      <c r="E56" s="522">
        <f t="shared" si="1"/>
      </c>
      <c r="G56" s="73"/>
      <c r="H56" s="73"/>
      <c r="I56" s="73"/>
    </row>
    <row r="57" spans="1:9" ht="15.75">
      <c r="A57" s="520">
        <v>160</v>
      </c>
      <c r="B57" s="521">
        <f t="shared" si="3"/>
        <v>10.887353762644953</v>
      </c>
      <c r="C57" s="521">
        <f t="shared" si="2"/>
      </c>
      <c r="D57" s="521">
        <f t="shared" si="0"/>
      </c>
      <c r="E57" s="522">
        <f t="shared" si="1"/>
      </c>
      <c r="G57" s="73"/>
      <c r="H57" s="73"/>
      <c r="I57" s="73"/>
    </row>
    <row r="58" spans="1:9" ht="15.75">
      <c r="A58" s="520">
        <v>170</v>
      </c>
      <c r="B58" s="521">
        <f t="shared" si="3"/>
        <v>11.567813372810264</v>
      </c>
      <c r="C58" s="521">
        <f t="shared" si="2"/>
      </c>
      <c r="D58" s="521">
        <f t="shared" si="0"/>
      </c>
      <c r="E58" s="522">
        <f t="shared" si="1"/>
      </c>
      <c r="G58" s="73"/>
      <c r="H58" s="73"/>
      <c r="I58" s="73"/>
    </row>
    <row r="59" spans="1:9" ht="15.75">
      <c r="A59" s="520">
        <v>180</v>
      </c>
      <c r="B59" s="521">
        <f t="shared" si="3"/>
        <v>12.248272982975573</v>
      </c>
      <c r="C59" s="521">
        <f t="shared" si="2"/>
      </c>
      <c r="D59" s="521">
        <f t="shared" si="0"/>
      </c>
      <c r="E59" s="522">
        <f t="shared" si="1"/>
      </c>
      <c r="G59" s="73"/>
      <c r="H59" s="73"/>
      <c r="I59" s="73"/>
    </row>
    <row r="60" spans="1:9" ht="15.75">
      <c r="A60" s="520">
        <v>190</v>
      </c>
      <c r="B60" s="521">
        <f t="shared" si="3"/>
        <v>12.928732593140882</v>
      </c>
      <c r="C60" s="521">
        <f t="shared" si="2"/>
      </c>
      <c r="D60" s="521">
        <f t="shared" si="0"/>
      </c>
      <c r="E60" s="522">
        <f t="shared" si="1"/>
      </c>
      <c r="G60" s="73"/>
      <c r="H60" s="73"/>
      <c r="I60" s="73"/>
    </row>
    <row r="61" spans="1:9" ht="15.75">
      <c r="A61" s="523">
        <v>200</v>
      </c>
      <c r="B61" s="524">
        <f t="shared" si="3"/>
        <v>13.609192203306192</v>
      </c>
      <c r="C61" s="524">
        <f t="shared" si="2"/>
      </c>
      <c r="D61" s="524">
        <f t="shared" si="0"/>
      </c>
      <c r="E61" s="525">
        <f t="shared" si="1"/>
      </c>
      <c r="G61" s="73"/>
      <c r="H61" s="73"/>
      <c r="I61" s="73"/>
    </row>
    <row r="62" ht="15.75"/>
    <row r="63" ht="15.75" hidden="1"/>
    <row r="64" ht="15.75" hidden="1"/>
    <row r="65" ht="15.75" hidden="1">
      <c r="E65" s="83"/>
    </row>
    <row r="66" ht="15.75" hidden="1"/>
  </sheetData>
  <sheetProtection password="83AF" sheet="1" objects="1" scenarios="1" selectLockedCells="1" selectUnlockedCells="1"/>
  <mergeCells count="11">
    <mergeCell ref="A33:C33"/>
    <mergeCell ref="A34:C34"/>
    <mergeCell ref="A35:C35"/>
    <mergeCell ref="A4:E4"/>
    <mergeCell ref="A30:B30"/>
    <mergeCell ref="A13:E13"/>
    <mergeCell ref="A39:C39"/>
    <mergeCell ref="A36:C36"/>
    <mergeCell ref="A27:B27"/>
    <mergeCell ref="A28:B28"/>
    <mergeCell ref="A29:B29"/>
  </mergeCells>
  <printOptions horizontalCentered="1"/>
  <pageMargins left="0.5" right="0.5" top="1.25" bottom="0.75" header="0.75" footer="0.5"/>
  <pageSetup horizontalDpi="600" verticalDpi="600" orientation="portrait" r:id="rId1"/>
  <headerFooter alignWithMargins="0">
    <oddHeader>&amp;L&amp;"Trebuchet MS,Regular"Calibration of LPG Provers&amp;R&amp;"Trebuchet MS,Regular"WAMRF-014, Rev. 29, 10/22/2014</oddHeader>
    <oddFooter>&amp;L&amp;"Trebuchet MS,Regular"&amp;F&amp;R&amp;"Trebuchet MS,Regular"&amp;A Worksheet Page &amp;P of &amp;N</oddFooter>
  </headerFooter>
  <rowBreaks count="1" manualBreakCount="1">
    <brk id="37" max="4" man="1"/>
  </rowBreaks>
</worksheet>
</file>

<file path=xl/worksheets/sheet13.xml><?xml version="1.0" encoding="utf-8"?>
<worksheet xmlns="http://schemas.openxmlformats.org/spreadsheetml/2006/main" xmlns:r="http://schemas.openxmlformats.org/officeDocument/2006/relationships">
  <sheetPr>
    <tabColor indexed="18"/>
  </sheetPr>
  <dimension ref="A1:N137"/>
  <sheetViews>
    <sheetView showGridLines="0" workbookViewId="0" topLeftCell="A1">
      <selection activeCell="A1" sqref="A1"/>
    </sheetView>
  </sheetViews>
  <sheetFormatPr defaultColWidth="0" defaultRowHeight="0" customHeight="1" zeroHeight="1"/>
  <cols>
    <col min="1" max="12" width="9.88671875" style="411" customWidth="1"/>
    <col min="13" max="13" width="3.77734375" style="411" customWidth="1"/>
    <col min="14" max="14" width="14.77734375" style="411" hidden="1" customWidth="1"/>
    <col min="15" max="16384" width="0" style="411" hidden="1" customWidth="1"/>
  </cols>
  <sheetData>
    <row r="1" spans="1:12" ht="19.5" thickBot="1">
      <c r="A1" s="404" t="s">
        <v>73</v>
      </c>
      <c r="B1" s="405"/>
      <c r="C1" s="855"/>
      <c r="D1" s="855"/>
      <c r="E1" s="855"/>
      <c r="F1" s="855"/>
      <c r="G1" s="406"/>
      <c r="H1" s="406"/>
      <c r="I1" s="407"/>
      <c r="J1" s="408"/>
      <c r="K1" s="409"/>
      <c r="L1" s="410" t="s">
        <v>656</v>
      </c>
    </row>
    <row r="2" spans="2:14" ht="12" customHeight="1">
      <c r="B2" s="412"/>
      <c r="C2" s="412"/>
      <c r="D2" s="412"/>
      <c r="E2" s="412"/>
      <c r="F2" s="412"/>
      <c r="G2" s="412"/>
      <c r="H2" s="412"/>
      <c r="I2" s="412"/>
      <c r="J2" s="412"/>
      <c r="K2" s="412"/>
      <c r="L2" s="412"/>
      <c r="N2" s="413"/>
    </row>
    <row r="3" spans="1:12" ht="18.75" thickBot="1">
      <c r="A3" s="414" t="s">
        <v>38</v>
      </c>
      <c r="B3" s="415"/>
      <c r="C3" s="415"/>
      <c r="D3" s="415"/>
      <c r="E3" s="415"/>
      <c r="F3" s="415"/>
      <c r="G3" s="407"/>
      <c r="H3" s="407"/>
      <c r="I3" s="407"/>
      <c r="J3" s="407"/>
      <c r="K3" s="407"/>
      <c r="L3" s="415"/>
    </row>
    <row r="4" spans="1:12" ht="16.5">
      <c r="A4" s="416" t="s">
        <v>766</v>
      </c>
      <c r="B4" s="417"/>
      <c r="C4" s="417"/>
      <c r="D4" s="417"/>
      <c r="E4" s="417"/>
      <c r="F4" s="417"/>
      <c r="G4" s="418"/>
      <c r="H4" s="418"/>
      <c r="I4" s="418"/>
      <c r="J4" s="418"/>
      <c r="K4" s="418"/>
      <c r="L4" s="417"/>
    </row>
    <row r="5" spans="2:14" ht="12" customHeight="1">
      <c r="B5" s="412"/>
      <c r="C5" s="412"/>
      <c r="D5" s="412"/>
      <c r="E5" s="412"/>
      <c r="F5" s="412"/>
      <c r="G5" s="412"/>
      <c r="H5" s="412"/>
      <c r="I5" s="412"/>
      <c r="J5" s="412"/>
      <c r="K5" s="412"/>
      <c r="L5" s="412"/>
      <c r="N5" s="413"/>
    </row>
    <row r="6" spans="1:12" ht="18.75" thickBot="1">
      <c r="A6" s="414" t="s">
        <v>39</v>
      </c>
      <c r="B6" s="407"/>
      <c r="C6" s="415"/>
      <c r="D6" s="415"/>
      <c r="E6" s="415"/>
      <c r="F6" s="407"/>
      <c r="G6" s="407"/>
      <c r="H6" s="407"/>
      <c r="I6" s="407"/>
      <c r="J6" s="407"/>
      <c r="K6" s="407"/>
      <c r="L6" s="415"/>
    </row>
    <row r="7" spans="1:12" ht="16.5">
      <c r="A7" s="419" t="s">
        <v>170</v>
      </c>
      <c r="B7" s="420"/>
      <c r="C7" s="418"/>
      <c r="D7" s="418"/>
      <c r="E7" s="418"/>
      <c r="F7" s="418"/>
      <c r="G7" s="418"/>
      <c r="H7" s="418"/>
      <c r="I7" s="418"/>
      <c r="J7" s="418"/>
      <c r="K7" s="418"/>
      <c r="L7" s="420"/>
    </row>
    <row r="8" spans="1:12" ht="72" customHeight="1">
      <c r="A8" s="421"/>
      <c r="B8" s="420"/>
      <c r="C8" s="418"/>
      <c r="D8" s="418"/>
      <c r="E8" s="418"/>
      <c r="F8" s="418"/>
      <c r="G8" s="418"/>
      <c r="H8" s="418"/>
      <c r="I8" s="418"/>
      <c r="J8" s="418"/>
      <c r="K8" s="418"/>
      <c r="L8" s="420"/>
    </row>
    <row r="9" spans="1:12" ht="18.75">
      <c r="A9" s="403" t="s">
        <v>657</v>
      </c>
      <c r="B9" s="420"/>
      <c r="C9" s="418"/>
      <c r="D9" s="418"/>
      <c r="E9" s="418"/>
      <c r="F9" s="418"/>
      <c r="G9" s="418"/>
      <c r="H9" s="418"/>
      <c r="I9" s="418"/>
      <c r="J9" s="418"/>
      <c r="K9" s="418"/>
      <c r="L9" s="420"/>
    </row>
    <row r="10" spans="1:12" ht="16.5">
      <c r="A10" s="422"/>
      <c r="B10" s="423"/>
      <c r="C10" s="418"/>
      <c r="D10" s="418"/>
      <c r="E10" s="418"/>
      <c r="F10" s="418"/>
      <c r="G10" s="418"/>
      <c r="H10" s="418"/>
      <c r="I10" s="418"/>
      <c r="J10" s="418"/>
      <c r="K10" s="418"/>
      <c r="L10" s="420"/>
    </row>
    <row r="11" spans="2:12" ht="16.5">
      <c r="B11" s="402" t="s">
        <v>37</v>
      </c>
      <c r="C11" s="475"/>
      <c r="D11" s="475"/>
      <c r="E11" s="475"/>
      <c r="F11" s="475"/>
      <c r="G11" s="475"/>
      <c r="H11" s="475"/>
      <c r="I11" s="475"/>
      <c r="J11" s="475"/>
      <c r="K11" s="475"/>
      <c r="L11" s="475"/>
    </row>
    <row r="12" spans="2:12" ht="16.5" customHeight="1">
      <c r="B12" s="401" t="s">
        <v>155</v>
      </c>
      <c r="C12" s="848" t="s">
        <v>568</v>
      </c>
      <c r="D12" s="848"/>
      <c r="E12" s="848"/>
      <c r="F12" s="848"/>
      <c r="G12" s="848"/>
      <c r="H12" s="848"/>
      <c r="I12" s="848"/>
      <c r="J12" s="848"/>
      <c r="K12" s="848"/>
      <c r="L12" s="848"/>
    </row>
    <row r="13" spans="2:12" ht="16.5" customHeight="1">
      <c r="B13" s="401" t="s">
        <v>156</v>
      </c>
      <c r="C13" s="848" t="s">
        <v>569</v>
      </c>
      <c r="D13" s="848"/>
      <c r="E13" s="848"/>
      <c r="F13" s="848"/>
      <c r="G13" s="848"/>
      <c r="H13" s="848"/>
      <c r="I13" s="848"/>
      <c r="J13" s="848"/>
      <c r="K13" s="848"/>
      <c r="L13" s="848"/>
    </row>
    <row r="14" spans="2:12" ht="37.5" customHeight="1">
      <c r="B14" s="401" t="s">
        <v>133</v>
      </c>
      <c r="C14" s="848" t="s">
        <v>570</v>
      </c>
      <c r="D14" s="848"/>
      <c r="E14" s="848"/>
      <c r="F14" s="848"/>
      <c r="G14" s="848"/>
      <c r="H14" s="848"/>
      <c r="I14" s="848"/>
      <c r="J14" s="848"/>
      <c r="K14" s="848"/>
      <c r="L14" s="848"/>
    </row>
    <row r="15" spans="2:12" ht="51" customHeight="1">
      <c r="B15" s="401" t="s">
        <v>134</v>
      </c>
      <c r="C15" s="848" t="s">
        <v>487</v>
      </c>
      <c r="D15" s="848"/>
      <c r="E15" s="848"/>
      <c r="F15" s="848"/>
      <c r="G15" s="848"/>
      <c r="H15" s="848"/>
      <c r="I15" s="848"/>
      <c r="J15" s="848"/>
      <c r="K15" s="848"/>
      <c r="L15" s="848"/>
    </row>
    <row r="16" spans="2:12" ht="16.5" customHeight="1">
      <c r="B16" s="401" t="s">
        <v>135</v>
      </c>
      <c r="C16" s="848" t="s">
        <v>40</v>
      </c>
      <c r="D16" s="848"/>
      <c r="E16" s="848"/>
      <c r="F16" s="848"/>
      <c r="G16" s="848"/>
      <c r="H16" s="848"/>
      <c r="I16" s="848"/>
      <c r="J16" s="848"/>
      <c r="K16" s="848"/>
      <c r="L16" s="848"/>
    </row>
    <row r="17" spans="2:12" ht="16.5" customHeight="1">
      <c r="B17" s="401" t="s">
        <v>58</v>
      </c>
      <c r="C17" s="848" t="s">
        <v>157</v>
      </c>
      <c r="D17" s="848"/>
      <c r="E17" s="848"/>
      <c r="F17" s="848"/>
      <c r="G17" s="848"/>
      <c r="H17" s="848"/>
      <c r="I17" s="848"/>
      <c r="J17" s="848"/>
      <c r="K17" s="848"/>
      <c r="L17" s="848"/>
    </row>
    <row r="18" spans="2:12" ht="16.5" customHeight="1">
      <c r="B18" s="401" t="s">
        <v>59</v>
      </c>
      <c r="C18" s="848" t="s">
        <v>158</v>
      </c>
      <c r="D18" s="848"/>
      <c r="E18" s="848"/>
      <c r="F18" s="848"/>
      <c r="G18" s="848"/>
      <c r="H18" s="848"/>
      <c r="I18" s="848"/>
      <c r="J18" s="848"/>
      <c r="K18" s="848"/>
      <c r="L18" s="848"/>
    </row>
    <row r="19" spans="2:12" ht="16.5" customHeight="1">
      <c r="B19" s="401" t="s">
        <v>136</v>
      </c>
      <c r="C19" s="848" t="s">
        <v>159</v>
      </c>
      <c r="D19" s="848"/>
      <c r="E19" s="848"/>
      <c r="F19" s="848"/>
      <c r="G19" s="848"/>
      <c r="H19" s="848"/>
      <c r="I19" s="848"/>
      <c r="J19" s="848"/>
      <c r="K19" s="848"/>
      <c r="L19" s="848"/>
    </row>
    <row r="20" spans="2:12" ht="16.5" customHeight="1">
      <c r="B20" s="401" t="s">
        <v>137</v>
      </c>
      <c r="C20" s="848" t="s">
        <v>571</v>
      </c>
      <c r="D20" s="848"/>
      <c r="E20" s="848"/>
      <c r="F20" s="848"/>
      <c r="G20" s="848"/>
      <c r="H20" s="848"/>
      <c r="I20" s="848"/>
      <c r="J20" s="848"/>
      <c r="K20" s="848"/>
      <c r="L20" s="848"/>
    </row>
    <row r="21" spans="1:12" ht="12" customHeight="1">
      <c r="A21" s="425"/>
      <c r="B21" s="424"/>
      <c r="C21" s="424"/>
      <c r="D21" s="424"/>
      <c r="E21" s="424"/>
      <c r="F21" s="424"/>
      <c r="G21" s="424"/>
      <c r="H21" s="424"/>
      <c r="I21" s="424"/>
      <c r="J21" s="424"/>
      <c r="K21" s="424"/>
      <c r="L21" s="420"/>
    </row>
    <row r="22" spans="1:14" ht="18.75" thickBot="1">
      <c r="A22" s="426" t="s">
        <v>572</v>
      </c>
      <c r="B22" s="427"/>
      <c r="C22" s="428"/>
      <c r="D22" s="428"/>
      <c r="E22" s="428"/>
      <c r="F22" s="428"/>
      <c r="G22" s="427"/>
      <c r="H22" s="428"/>
      <c r="I22" s="428"/>
      <c r="J22" s="428"/>
      <c r="K22" s="427"/>
      <c r="L22" s="428"/>
      <c r="M22" s="259"/>
      <c r="N22" s="259"/>
    </row>
    <row r="23" spans="1:14" ht="15" customHeight="1">
      <c r="A23" s="429" t="s">
        <v>573</v>
      </c>
      <c r="B23" s="849" t="s">
        <v>8</v>
      </c>
      <c r="C23" s="850"/>
      <c r="D23" s="850"/>
      <c r="E23" s="850"/>
      <c r="F23" s="851"/>
      <c r="G23" s="852" t="s">
        <v>574</v>
      </c>
      <c r="H23" s="853"/>
      <c r="I23" s="853"/>
      <c r="J23" s="853"/>
      <c r="K23" s="853"/>
      <c r="L23" s="854"/>
      <c r="M23" s="259"/>
      <c r="N23" s="259"/>
    </row>
    <row r="24" spans="1:14" ht="71.25" customHeight="1">
      <c r="A24" s="430" t="s">
        <v>575</v>
      </c>
      <c r="B24" s="815" t="s">
        <v>576</v>
      </c>
      <c r="C24" s="815"/>
      <c r="D24" s="815"/>
      <c r="E24" s="815"/>
      <c r="F24" s="815"/>
      <c r="G24" s="816" t="s">
        <v>577</v>
      </c>
      <c r="H24" s="816"/>
      <c r="I24" s="816"/>
      <c r="J24" s="816"/>
      <c r="K24" s="816"/>
      <c r="L24" s="816"/>
      <c r="M24" s="259"/>
      <c r="N24" s="259"/>
    </row>
    <row r="25" spans="1:14" ht="40.5" customHeight="1">
      <c r="A25" s="431" t="s">
        <v>578</v>
      </c>
      <c r="B25" s="841" t="s">
        <v>579</v>
      </c>
      <c r="C25" s="841"/>
      <c r="D25" s="841"/>
      <c r="E25" s="841"/>
      <c r="F25" s="841"/>
      <c r="G25" s="842" t="s">
        <v>580</v>
      </c>
      <c r="H25" s="842"/>
      <c r="I25" s="842"/>
      <c r="J25" s="842"/>
      <c r="K25" s="842"/>
      <c r="L25" s="842"/>
      <c r="M25" s="432"/>
      <c r="N25" s="432"/>
    </row>
    <row r="26" spans="1:14" ht="56.25" customHeight="1">
      <c r="A26" s="430" t="s">
        <v>581</v>
      </c>
      <c r="B26" s="815" t="s">
        <v>582</v>
      </c>
      <c r="C26" s="815"/>
      <c r="D26" s="815"/>
      <c r="E26" s="815"/>
      <c r="F26" s="815"/>
      <c r="G26" s="816" t="s">
        <v>583</v>
      </c>
      <c r="H26" s="816"/>
      <c r="I26" s="816"/>
      <c r="J26" s="816"/>
      <c r="K26" s="816"/>
      <c r="L26" s="816"/>
      <c r="M26" s="259"/>
      <c r="N26" s="259"/>
    </row>
    <row r="27" spans="1:14" ht="56.25" customHeight="1">
      <c r="A27" s="431" t="s">
        <v>584</v>
      </c>
      <c r="B27" s="841" t="s">
        <v>585</v>
      </c>
      <c r="C27" s="841"/>
      <c r="D27" s="841"/>
      <c r="E27" s="841"/>
      <c r="F27" s="841"/>
      <c r="G27" s="842" t="s">
        <v>586</v>
      </c>
      <c r="H27" s="842"/>
      <c r="I27" s="842"/>
      <c r="J27" s="842"/>
      <c r="K27" s="842"/>
      <c r="L27" s="842"/>
      <c r="M27" s="259"/>
      <c r="N27" s="259"/>
    </row>
    <row r="28" spans="1:14" s="576" customFormat="1" ht="51" customHeight="1">
      <c r="A28" s="430" t="s">
        <v>587</v>
      </c>
      <c r="B28" s="815" t="s">
        <v>588</v>
      </c>
      <c r="C28" s="815"/>
      <c r="D28" s="815"/>
      <c r="E28" s="815"/>
      <c r="F28" s="815"/>
      <c r="G28" s="816" t="s">
        <v>589</v>
      </c>
      <c r="H28" s="816"/>
      <c r="I28" s="816"/>
      <c r="J28" s="816"/>
      <c r="K28" s="816"/>
      <c r="L28" s="816"/>
      <c r="M28" s="433"/>
      <c r="N28" s="433"/>
    </row>
    <row r="29" spans="1:14" s="578" customFormat="1" ht="34.5" customHeight="1">
      <c r="A29" s="431" t="s">
        <v>590</v>
      </c>
      <c r="B29" s="841" t="s">
        <v>591</v>
      </c>
      <c r="C29" s="841"/>
      <c r="D29" s="841"/>
      <c r="E29" s="841"/>
      <c r="F29" s="841"/>
      <c r="G29" s="842" t="s">
        <v>592</v>
      </c>
      <c r="H29" s="842"/>
      <c r="I29" s="842"/>
      <c r="J29" s="842"/>
      <c r="K29" s="842"/>
      <c r="L29" s="842"/>
      <c r="M29" s="577"/>
      <c r="N29" s="577"/>
    </row>
    <row r="30" spans="1:14" s="576" customFormat="1" ht="40.5" customHeight="1">
      <c r="A30" s="430" t="s">
        <v>663</v>
      </c>
      <c r="B30" s="815" t="s">
        <v>664</v>
      </c>
      <c r="C30" s="815"/>
      <c r="D30" s="815"/>
      <c r="E30" s="815"/>
      <c r="F30" s="815"/>
      <c r="G30" s="816" t="s">
        <v>665</v>
      </c>
      <c r="H30" s="816"/>
      <c r="I30" s="816"/>
      <c r="J30" s="816"/>
      <c r="K30" s="816"/>
      <c r="L30" s="816"/>
      <c r="M30" s="433"/>
      <c r="N30" s="433"/>
    </row>
    <row r="31" spans="2:14" ht="12" customHeight="1">
      <c r="B31" s="412"/>
      <c r="C31" s="412"/>
      <c r="D31" s="412"/>
      <c r="E31" s="412"/>
      <c r="F31" s="412"/>
      <c r="G31" s="412"/>
      <c r="H31" s="412"/>
      <c r="I31" s="412"/>
      <c r="J31" s="412"/>
      <c r="K31" s="412"/>
      <c r="L31" s="412"/>
      <c r="N31" s="413"/>
    </row>
    <row r="32" spans="1:12" ht="18.75" thickBot="1">
      <c r="A32" s="434" t="s">
        <v>593</v>
      </c>
      <c r="B32" s="435"/>
      <c r="C32" s="435"/>
      <c r="D32" s="435"/>
      <c r="E32" s="435"/>
      <c r="F32" s="435"/>
      <c r="G32" s="435"/>
      <c r="H32" s="435"/>
      <c r="I32" s="435"/>
      <c r="J32" s="435"/>
      <c r="K32" s="436"/>
      <c r="L32" s="436"/>
    </row>
    <row r="33" spans="1:12" ht="19.5">
      <c r="A33" s="843" t="s">
        <v>594</v>
      </c>
      <c r="B33" s="844"/>
      <c r="C33" s="845"/>
      <c r="D33" s="846" t="s">
        <v>595</v>
      </c>
      <c r="E33" s="847"/>
      <c r="F33" s="489" t="s">
        <v>596</v>
      </c>
      <c r="G33" s="484">
        <f>IF('Prover Data Entry'!A37="",0,PI()*(VLOOKUP('Prover Data Entry'!A37,Standards_Table_B,9,FALSE)/2)^2*VLOOKUP('Prover Data Entry'!A37,Standards_Table_B,11,FALSE)/1000*drops1)</f>
        <v>0</v>
      </c>
      <c r="H33" s="493"/>
      <c r="I33" s="846" t="s">
        <v>597</v>
      </c>
      <c r="J33" s="847"/>
      <c r="K33" s="489" t="s">
        <v>596</v>
      </c>
      <c r="L33" s="486">
        <f>IF('Prover Data Entry'!A37="",0,PI()*(VLOOKUP('Prover Data Entry'!A37,Standards_Table_B,10,FALSE)/2)^2*VLOOKUP('Prover Data Entry'!A37,Standards_Table_B,11,FALSE)/1000*drops1)</f>
        <v>0</v>
      </c>
    </row>
    <row r="34" spans="1:12" ht="19.5">
      <c r="A34" s="820"/>
      <c r="B34" s="821"/>
      <c r="C34" s="822"/>
      <c r="D34" s="487"/>
      <c r="E34" s="488"/>
      <c r="F34" s="490" t="s">
        <v>598</v>
      </c>
      <c r="G34" s="479">
        <f>IF('Prover Data Entry'!A38="",0,PI()*(VLOOKUP('Prover Data Entry'!A38,Standards_Table_B,9,FALSE)/2)^2*VLOOKUP('Prover Data Entry'!A38,Standards_Table_B,11,FALSE)/1000*drops2)</f>
        <v>0</v>
      </c>
      <c r="H34" s="488"/>
      <c r="I34" s="487"/>
      <c r="J34" s="488"/>
      <c r="K34" s="490" t="s">
        <v>598</v>
      </c>
      <c r="L34" s="480">
        <f>IF('Prover Data Entry'!A38="",0,PI()*(VLOOKUP('Prover Data Entry'!A38,Standards_Table_B,10,FALSE)/2)^2*VLOOKUP('Prover Data Entry'!A38,Standards_Table_B,11,FALSE)/1000*drops2)</f>
        <v>0</v>
      </c>
    </row>
    <row r="35" spans="1:12" ht="19.5">
      <c r="A35" s="820"/>
      <c r="B35" s="821"/>
      <c r="C35" s="822"/>
      <c r="D35" s="487"/>
      <c r="E35" s="488"/>
      <c r="F35" s="490" t="s">
        <v>599</v>
      </c>
      <c r="G35" s="479">
        <f>IF('Prover Data Entry'!A39="",0,PI()*(VLOOKUP('Prover Data Entry'!A39,Standards_Table_B,9,FALSE)/2)^2*VLOOKUP('Prover Data Entry'!A39,Standards_Table_B,11,FALSE)/1000*drops3)</f>
        <v>0</v>
      </c>
      <c r="H35" s="488"/>
      <c r="I35" s="487"/>
      <c r="J35" s="488"/>
      <c r="K35" s="490" t="s">
        <v>599</v>
      </c>
      <c r="L35" s="480">
        <f>IF('Prover Data Entry'!A39="",0,PI()*(VLOOKUP('Prover Data Entry'!A39,Standards_Table_B,10,FALSE)/2)^2*VLOOKUP('Prover Data Entry'!A39,Standards_Table_B,11,FALSE)/1000*drops3)</f>
        <v>0</v>
      </c>
    </row>
    <row r="36" spans="1:12" ht="19.5">
      <c r="A36" s="476"/>
      <c r="B36" s="477"/>
      <c r="C36" s="478"/>
      <c r="D36" s="487"/>
      <c r="E36" s="488"/>
      <c r="F36" s="490" t="s">
        <v>600</v>
      </c>
      <c r="G36" s="479">
        <f>IF('Prover Data Entry'!A40="",0,PI()*(VLOOKUP('Prover Data Entry'!A40,Standards_Table_B,9,FALSE)/2)^2*VLOOKUP('Prover Data Entry'!A40,Standards_Table_B,11,FALSE)/1000*drops4)</f>
        <v>0</v>
      </c>
      <c r="H36" s="488"/>
      <c r="I36" s="487"/>
      <c r="J36" s="488"/>
      <c r="K36" s="490" t="s">
        <v>600</v>
      </c>
      <c r="L36" s="480">
        <f>IF('Prover Data Entry'!A40="",0,PI()*(VLOOKUP('Prover Data Entry'!A40,Standards_Table_B,10,FALSE)/2)^2*VLOOKUP('Prover Data Entry'!A40,Standards_Table_B,11,FALSE)/1000*drops4)</f>
        <v>0</v>
      </c>
    </row>
    <row r="37" spans="1:12" ht="7.5" customHeight="1">
      <c r="A37" s="835"/>
      <c r="B37" s="836"/>
      <c r="C37" s="837"/>
      <c r="D37" s="838"/>
      <c r="E37" s="839"/>
      <c r="F37" s="839"/>
      <c r="G37" s="840"/>
      <c r="H37" s="840"/>
      <c r="I37" s="500"/>
      <c r="J37" s="500"/>
      <c r="K37" s="500"/>
      <c r="L37" s="501"/>
    </row>
    <row r="38" spans="1:12" ht="19.5">
      <c r="A38" s="820" t="s">
        <v>601</v>
      </c>
      <c r="B38" s="821"/>
      <c r="C38" s="822"/>
      <c r="D38" s="831" t="s">
        <v>661</v>
      </c>
      <c r="E38" s="832"/>
      <c r="F38" s="490" t="s">
        <v>602</v>
      </c>
      <c r="G38" s="479">
        <f>IF(Top_Neck_id="",0,PI()*(Top_Neck_id/2)^2*Line_w/1000)</f>
        <v>0</v>
      </c>
      <c r="H38" s="488"/>
      <c r="I38" s="831" t="s">
        <v>660</v>
      </c>
      <c r="J38" s="832"/>
      <c r="K38" s="490" t="s">
        <v>602</v>
      </c>
      <c r="L38" s="480">
        <f>IF(Bottom_Neck_id="",0,PI()*(Bottom_Neck_id/2)^2*Line_w/1000)</f>
        <v>0</v>
      </c>
    </row>
    <row r="39" spans="1:12" ht="7.5" customHeight="1">
      <c r="A39" s="502"/>
      <c r="B39" s="503"/>
      <c r="C39" s="504"/>
      <c r="D39" s="505"/>
      <c r="E39" s="506"/>
      <c r="F39" s="506"/>
      <c r="G39" s="507"/>
      <c r="H39" s="507"/>
      <c r="I39" s="508"/>
      <c r="J39" s="508"/>
      <c r="K39" s="508"/>
      <c r="L39" s="509"/>
    </row>
    <row r="40" spans="1:12" ht="19.5">
      <c r="A40" s="820" t="s">
        <v>603</v>
      </c>
      <c r="B40" s="821"/>
      <c r="C40" s="822"/>
      <c r="D40" s="491" t="s">
        <v>604</v>
      </c>
      <c r="E40" s="479">
        <f>IF('Prover Data Entry'!A37="",0,SUM(VLOOKUP('Prover Data Entry'!A37,Standards_Table_B,8,FALSE)*0.5%*drops1))</f>
        <v>0</v>
      </c>
      <c r="F40" s="488"/>
      <c r="G40" s="488"/>
      <c r="H40" s="479"/>
      <c r="I40" s="437"/>
      <c r="J40" s="437"/>
      <c r="K40" s="437"/>
      <c r="L40" s="438"/>
    </row>
    <row r="41" spans="1:12" ht="19.5">
      <c r="A41" s="476"/>
      <c r="B41" s="477"/>
      <c r="C41" s="478"/>
      <c r="D41" s="491" t="s">
        <v>605</v>
      </c>
      <c r="E41" s="497">
        <f>IF('Prover Data Entry'!A38="",0,SUM(VLOOKUP('Prover Data Entry'!A38,Standards_Table_B,8,FALSE)*0.5%*drops2))</f>
        <v>0</v>
      </c>
      <c r="F41" s="488"/>
      <c r="G41" s="488"/>
      <c r="H41" s="479"/>
      <c r="I41" s="437"/>
      <c r="J41" s="437"/>
      <c r="K41" s="437"/>
      <c r="L41" s="438"/>
    </row>
    <row r="42" spans="1:12" ht="19.5">
      <c r="A42" s="476"/>
      <c r="B42" s="477"/>
      <c r="C42" s="478"/>
      <c r="D42" s="491" t="s">
        <v>606</v>
      </c>
      <c r="E42" s="497">
        <f>IF('Prover Data Entry'!A39="",0,SUM(VLOOKUP('Prover Data Entry'!A39,Standards_Table_B,8,FALSE)*0.5%*drops3))</f>
        <v>0</v>
      </c>
      <c r="F42" s="488"/>
      <c r="G42" s="488"/>
      <c r="H42" s="479"/>
      <c r="I42" s="437"/>
      <c r="J42" s="437"/>
      <c r="K42" s="437"/>
      <c r="L42" s="438"/>
    </row>
    <row r="43" spans="1:12" ht="19.5">
      <c r="A43" s="476"/>
      <c r="B43" s="477"/>
      <c r="C43" s="478"/>
      <c r="D43" s="491" t="s">
        <v>607</v>
      </c>
      <c r="E43" s="497">
        <f>IF('Prover Data Entry'!A40="",0,SUM(VLOOKUP('Prover Data Entry'!A40,Standards_Table_B,8,FALSE)*0.5%*drops4))</f>
        <v>0</v>
      </c>
      <c r="F43" s="488"/>
      <c r="G43" s="488"/>
      <c r="H43" s="479"/>
      <c r="I43" s="437"/>
      <c r="J43" s="437"/>
      <c r="K43" s="437"/>
      <c r="L43" s="438"/>
    </row>
    <row r="44" spans="1:12" ht="7.5" customHeight="1">
      <c r="A44" s="817"/>
      <c r="B44" s="818"/>
      <c r="C44" s="819"/>
      <c r="D44" s="833"/>
      <c r="E44" s="834"/>
      <c r="F44" s="834"/>
      <c r="G44" s="827"/>
      <c r="H44" s="827"/>
      <c r="I44" s="834"/>
      <c r="J44" s="834"/>
      <c r="K44" s="827"/>
      <c r="L44" s="828"/>
    </row>
    <row r="45" spans="1:12" ht="16.5">
      <c r="A45" s="820" t="s">
        <v>608</v>
      </c>
      <c r="B45" s="821"/>
      <c r="C45" s="822"/>
      <c r="D45" s="491" t="s">
        <v>609</v>
      </c>
      <c r="E45" s="492"/>
      <c r="F45" s="492" t="s">
        <v>610</v>
      </c>
      <c r="G45" s="437">
        <f>IF('Prover Data Entry'!B59="",0,IF(NomValUnit="Nominal Volume (L)",Calculations!D6*(('Prover Data Entry'!C59+('Prover Data Entry'!E59/1000))*(1+((VLOOKUP('Prover Data Entry'!B59,Standards_Table_B,6,FALSE)+VLOOKUP('Prover Data Entry'!B59,Standards_Table_B,6,FALSE)*5%))*(Calculations!C6-Calculations!B6))),Calculations!D6*(('Prover Data Entry'!C59+('Prover Data Entry'!E59/231))*(1+((VLOOKUP('Prover Data Entry'!B59,Standards_Table_B,6,FALSE)+VLOOKUP('Prover Data Entry'!B59,Standards_Table_B,6,FALSE)*5%))*(Calculations!C6-Calculations!B6)))))</f>
        <v>0</v>
      </c>
      <c r="H45" s="437"/>
      <c r="I45" s="495"/>
      <c r="J45" s="492" t="s">
        <v>611</v>
      </c>
      <c r="K45" s="437">
        <f>Calculations!E21</f>
      </c>
      <c r="L45" s="438"/>
    </row>
    <row r="46" spans="1:12" ht="16.5">
      <c r="A46" s="476"/>
      <c r="B46" s="477"/>
      <c r="C46" s="478"/>
      <c r="D46" s="491" t="s">
        <v>612</v>
      </c>
      <c r="E46" s="492"/>
      <c r="F46" s="492" t="s">
        <v>610</v>
      </c>
      <c r="G46" s="437">
        <f>IF('Prover Data Entry'!B60="",0,IF(NomValUnit="Nominal Volume (L)",Calculations!D7*(('Prover Data Entry'!C60+('Prover Data Entry'!E60/1000))*(1+((VLOOKUP('Prover Data Entry'!B60,Standards_Table_B,6,FALSE)+VLOOKUP('Prover Data Entry'!B60,Standards_Table_B,6,FALSE)*5%))*(Calculations!C7-Calculations!B7))),Calculations!D7*(('Prover Data Entry'!C60+('Prover Data Entry'!E60/231))*(1+((VLOOKUP('Prover Data Entry'!B60,Standards_Table_B,6,FALSE)+VLOOKUP('Prover Data Entry'!B60,Standards_Table_B,6,FALSE)*5%))*(Calculations!C7-Calculations!B7)))))</f>
        <v>0</v>
      </c>
      <c r="H46" s="479"/>
      <c r="I46" s="495"/>
      <c r="J46" s="495"/>
      <c r="K46" s="483"/>
      <c r="L46" s="485"/>
    </row>
    <row r="47" spans="1:12" ht="16.5">
      <c r="A47" s="476"/>
      <c r="B47" s="477"/>
      <c r="C47" s="478"/>
      <c r="D47" s="491" t="s">
        <v>613</v>
      </c>
      <c r="E47" s="492"/>
      <c r="F47" s="492" t="s">
        <v>610</v>
      </c>
      <c r="G47" s="437">
        <f>IF('Prover Data Entry'!B61="",0,IF(NomValUnit="Nominal Volume (L)",Calculations!D8*(('Prover Data Entry'!C61+('Prover Data Entry'!E61/1000))*(1+((VLOOKUP('Prover Data Entry'!B61,Standards_Table_B,6,FALSE)+VLOOKUP('Prover Data Entry'!B61,Standards_Table_B,6,FALSE)*5%))*(Calculations!C8-Calculations!B8))),Calculations!D8*(('Prover Data Entry'!C61+('Prover Data Entry'!E61/231))*(1+((VLOOKUP('Prover Data Entry'!B61,Standards_Table_B,6,FALSE)+VLOOKUP('Prover Data Entry'!B61,Standards_Table_B,6,FALSE)*5%))*(Calculations!C8-Calculations!B8)))))</f>
        <v>0</v>
      </c>
      <c r="H47" s="479"/>
      <c r="I47" s="495"/>
      <c r="J47" s="495"/>
      <c r="K47" s="483"/>
      <c r="L47" s="485"/>
    </row>
    <row r="48" spans="1:12" ht="16.5">
      <c r="A48" s="476"/>
      <c r="B48" s="477"/>
      <c r="C48" s="478"/>
      <c r="D48" s="491" t="s">
        <v>614</v>
      </c>
      <c r="E48" s="492"/>
      <c r="F48" s="492" t="s">
        <v>610</v>
      </c>
      <c r="G48" s="437">
        <f>IF('Prover Data Entry'!B62="",0,IF(NomValUnit="Nominal Volume (L)",Calculations!D9*(('Prover Data Entry'!C62+('Prover Data Entry'!E62/1000))*(1+((VLOOKUP('Prover Data Entry'!B62,Standards_Table_B,6,FALSE)+VLOOKUP('Prover Data Entry'!B62,Standards_Table_B,6,FALSE)*5%))*(Calculations!C9-Calculations!B9))),Calculations!D9*(('Prover Data Entry'!C62+('Prover Data Entry'!E62/231))*(1+((VLOOKUP('Prover Data Entry'!B62,Standards_Table_B,6,FALSE)+VLOOKUP('Prover Data Entry'!B62,Standards_Table_B,6,FALSE)*5%))*(Calculations!C9-Calculations!B9)))))</f>
        <v>0</v>
      </c>
      <c r="H48" s="479"/>
      <c r="I48" s="495"/>
      <c r="J48" s="495"/>
      <c r="K48" s="483"/>
      <c r="L48" s="485"/>
    </row>
    <row r="49" spans="1:12" ht="16.5">
      <c r="A49" s="476"/>
      <c r="B49" s="477"/>
      <c r="C49" s="478"/>
      <c r="D49" s="491" t="s">
        <v>615</v>
      </c>
      <c r="E49" s="492"/>
      <c r="F49" s="492" t="s">
        <v>610</v>
      </c>
      <c r="G49" s="437">
        <f>IF('Prover Data Entry'!B63="",0,IF(NomValUnit="Nominal Volume (L)",Calculations!D10*(('Prover Data Entry'!C63+('Prover Data Entry'!E63/1000))*(1+((VLOOKUP('Prover Data Entry'!B63,Standards_Table_B,6,FALSE)+VLOOKUP('Prover Data Entry'!B63,Standards_Table_B,6,FALSE)*5%))*(Calculations!C10-Calculations!B10))),Calculations!D10*(('Prover Data Entry'!C63+('Prover Data Entry'!E63/231))*(1+((VLOOKUP('Prover Data Entry'!B63,Standards_Table_B,6,FALSE)+VLOOKUP('Prover Data Entry'!B63,Standards_Table_B,6,FALSE)*5%))*(Calculations!C10-Calculations!B10)))))</f>
        <v>0</v>
      </c>
      <c r="H49" s="479"/>
      <c r="I49" s="495"/>
      <c r="J49" s="495"/>
      <c r="K49" s="483"/>
      <c r="L49" s="485"/>
    </row>
    <row r="50" spans="1:12" ht="16.5">
      <c r="A50" s="476"/>
      <c r="B50" s="477"/>
      <c r="C50" s="478"/>
      <c r="D50" s="491" t="s">
        <v>616</v>
      </c>
      <c r="E50" s="492"/>
      <c r="F50" s="492" t="s">
        <v>610</v>
      </c>
      <c r="G50" s="437">
        <f>IF('Prover Data Entry'!B64="",0,IF(NomValUnit="Nominal Volume (L)",Calculations!D11*(('Prover Data Entry'!C64+('Prover Data Entry'!E64/1000))*(1+((VLOOKUP('Prover Data Entry'!B64,Standards_Table_B,6,FALSE)+VLOOKUP('Prover Data Entry'!B64,Standards_Table_B,6,FALSE)*5%))*(Calculations!C11-Calculations!B11))),Calculations!D11*(('Prover Data Entry'!C64+('Prover Data Entry'!E64/231))*(1+((VLOOKUP('Prover Data Entry'!B64,Standards_Table_B,6,FALSE)+VLOOKUP('Prover Data Entry'!B64,Standards_Table_B,6,FALSE)*5%))*(Calculations!C11-Calculations!B11)))))</f>
        <v>0</v>
      </c>
      <c r="H50" s="479"/>
      <c r="I50" s="495"/>
      <c r="J50" s="495"/>
      <c r="K50" s="483"/>
      <c r="L50" s="485"/>
    </row>
    <row r="51" spans="1:12" ht="16.5">
      <c r="A51" s="476"/>
      <c r="B51" s="477"/>
      <c r="C51" s="478"/>
      <c r="D51" s="491" t="s">
        <v>617</v>
      </c>
      <c r="E51" s="492"/>
      <c r="F51" s="492" t="s">
        <v>610</v>
      </c>
      <c r="G51" s="437">
        <f>IF('Prover Data Entry'!B65="",0,IF(NomValUnit="Nominal Volume (L)",Calculations!D12*(('Prover Data Entry'!C65+('Prover Data Entry'!E65/1000))*(1+((VLOOKUP('Prover Data Entry'!B65,Standards_Table_B,6,FALSE)+VLOOKUP('Prover Data Entry'!B65,Standards_Table_B,6,FALSE)*5%))*(Calculations!C12-Calculations!B12))),Calculations!D12*(('Prover Data Entry'!C65+('Prover Data Entry'!E65/231))*(1+((VLOOKUP('Prover Data Entry'!B65,Standards_Table_B,6,FALSE)+VLOOKUP('Prover Data Entry'!B65,Standards_Table_B,6,FALSE)*5%))*(Calculations!C12-Calculations!B12)))))</f>
        <v>0</v>
      </c>
      <c r="H51" s="479"/>
      <c r="I51" s="495"/>
      <c r="J51" s="495"/>
      <c r="K51" s="483"/>
      <c r="L51" s="485"/>
    </row>
    <row r="52" spans="1:12" ht="16.5">
      <c r="A52" s="476"/>
      <c r="B52" s="477"/>
      <c r="C52" s="478"/>
      <c r="D52" s="491" t="s">
        <v>618</v>
      </c>
      <c r="E52" s="492"/>
      <c r="F52" s="492" t="s">
        <v>610</v>
      </c>
      <c r="G52" s="437">
        <f>IF('Prover Data Entry'!B66="",0,IF(NomValUnit="Nominal Volume (L)",Calculations!D13*(('Prover Data Entry'!C66+('Prover Data Entry'!E66/1000))*(1+((VLOOKUP('Prover Data Entry'!B66,Standards_Table_B,6,FALSE)+VLOOKUP('Prover Data Entry'!B66,Standards_Table_B,6,FALSE)*5%))*(Calculations!C13-Calculations!B13))),Calculations!D13*(('Prover Data Entry'!C66+('Prover Data Entry'!E66/231))*(1+((VLOOKUP('Prover Data Entry'!B66,Standards_Table_B,6,FALSE)+VLOOKUP('Prover Data Entry'!B66,Standards_Table_B,6,FALSE)*5%))*(Calculations!C13-Calculations!B13)))))</f>
        <v>0</v>
      </c>
      <c r="H52" s="479"/>
      <c r="I52" s="495"/>
      <c r="J52" s="495"/>
      <c r="K52" s="483"/>
      <c r="L52" s="485"/>
    </row>
    <row r="53" spans="1:12" ht="16.5">
      <c r="A53" s="476"/>
      <c r="B53" s="477"/>
      <c r="C53" s="478"/>
      <c r="D53" s="491" t="s">
        <v>619</v>
      </c>
      <c r="E53" s="492"/>
      <c r="F53" s="492" t="s">
        <v>610</v>
      </c>
      <c r="G53" s="437">
        <f>IF('Prover Data Entry'!B67="",0,IF(NomValUnit="Nominal Volume (L)",Calculations!D14*(('Prover Data Entry'!C67+('Prover Data Entry'!E67/1000))*(1+((VLOOKUP('Prover Data Entry'!B67,Standards_Table_B,6,FALSE)+VLOOKUP('Prover Data Entry'!B67,Standards_Table_B,6,FALSE)*5%))*(Calculations!C14-Calculations!B14))),Calculations!D14*(('Prover Data Entry'!C67+('Prover Data Entry'!E67/231))*(1+((VLOOKUP('Prover Data Entry'!B67,Standards_Table_B,6,FALSE)+VLOOKUP('Prover Data Entry'!B67,Standards_Table_B,6,FALSE)*5%))*(Calculations!C14-Calculations!B14)))))</f>
        <v>0</v>
      </c>
      <c r="H53" s="479"/>
      <c r="I53" s="495"/>
      <c r="J53" s="495"/>
      <c r="K53" s="483"/>
      <c r="L53" s="485"/>
    </row>
    <row r="54" spans="1:12" ht="16.5">
      <c r="A54" s="476"/>
      <c r="B54" s="477"/>
      <c r="C54" s="478"/>
      <c r="D54" s="491" t="s">
        <v>620</v>
      </c>
      <c r="E54" s="492"/>
      <c r="F54" s="492" t="s">
        <v>610</v>
      </c>
      <c r="G54" s="437">
        <f>IF('Prover Data Entry'!B68="",0,IF(NomValUnit="Nominal Volume (L)",Calculations!D15*(('Prover Data Entry'!C68+('Prover Data Entry'!E68/1000))*(1+((VLOOKUP('Prover Data Entry'!B68,Standards_Table_B,6,FALSE)+VLOOKUP('Prover Data Entry'!B68,Standards_Table_B,6,FALSE)*5%))*(Calculations!C15-Calculations!B15))),Calculations!D15*(('Prover Data Entry'!C68+('Prover Data Entry'!E68/231))*(1+((VLOOKUP('Prover Data Entry'!B68,Standards_Table_B,6,FALSE)+VLOOKUP('Prover Data Entry'!B68,Standards_Table_B,6,FALSE)*5%))*(Calculations!C15-Calculations!B15)))))</f>
        <v>0</v>
      </c>
      <c r="H54" s="479"/>
      <c r="I54" s="495"/>
      <c r="J54" s="495"/>
      <c r="K54" s="483"/>
      <c r="L54" s="485"/>
    </row>
    <row r="55" spans="1:12" ht="16.5">
      <c r="A55" s="476"/>
      <c r="B55" s="477"/>
      <c r="C55" s="478"/>
      <c r="D55" s="491" t="s">
        <v>621</v>
      </c>
      <c r="E55" s="492"/>
      <c r="F55" s="492" t="s">
        <v>610</v>
      </c>
      <c r="G55" s="437">
        <f>IF('Prover Data Entry'!B69="",0,IF(NomValUnit="Nominal Volume (L)",Calculations!D16*(('Prover Data Entry'!C69+('Prover Data Entry'!E69/1000))*(1+((VLOOKUP('Prover Data Entry'!B69,Standards_Table_B,6,FALSE)+VLOOKUP('Prover Data Entry'!B69,Standards_Table_B,6,FALSE)*5%))*(Calculations!C16-Calculations!B16))),Calculations!D16*(('Prover Data Entry'!C69+('Prover Data Entry'!E69/231))*(1+((VLOOKUP('Prover Data Entry'!B69,Standards_Table_B,6,FALSE)+VLOOKUP('Prover Data Entry'!B69,Standards_Table_B,6,FALSE)*5%))*(Calculations!C16-Calculations!B16)))))</f>
        <v>0</v>
      </c>
      <c r="H55" s="479"/>
      <c r="I55" s="495"/>
      <c r="J55" s="495"/>
      <c r="K55" s="483"/>
      <c r="L55" s="485"/>
    </row>
    <row r="56" spans="1:12" ht="16.5">
      <c r="A56" s="476"/>
      <c r="B56" s="477"/>
      <c r="C56" s="478"/>
      <c r="D56" s="491" t="s">
        <v>622</v>
      </c>
      <c r="E56" s="492"/>
      <c r="F56" s="492" t="s">
        <v>610</v>
      </c>
      <c r="G56" s="437">
        <f>IF('Prover Data Entry'!B70="",0,IF(NomValUnit="Nominal Volume (L)",Calculations!D17*(('Prover Data Entry'!C70+('Prover Data Entry'!E70/1000))*(1+((VLOOKUP('Prover Data Entry'!B70,Standards_Table_B,6,FALSE)+VLOOKUP('Prover Data Entry'!B70,Standards_Table_B,6,FALSE)*5%))*(Calculations!C17-Calculations!B17))),Calculations!D17*(('Prover Data Entry'!C70+('Prover Data Entry'!E70/231))*(1+((VLOOKUP('Prover Data Entry'!B70,Standards_Table_B,6,FALSE)+VLOOKUP('Prover Data Entry'!B70,Standards_Table_B,6,FALSE)*5%))*(Calculations!C17-Calculations!B17)))))</f>
        <v>0</v>
      </c>
      <c r="H56" s="479"/>
      <c r="I56" s="495"/>
      <c r="J56" s="495"/>
      <c r="K56" s="483"/>
      <c r="L56" s="485"/>
    </row>
    <row r="57" spans="1:12" ht="16.5">
      <c r="A57" s="476"/>
      <c r="B57" s="477"/>
      <c r="C57" s="478"/>
      <c r="D57" s="491" t="s">
        <v>623</v>
      </c>
      <c r="E57" s="492"/>
      <c r="F57" s="492" t="s">
        <v>610</v>
      </c>
      <c r="G57" s="437">
        <f>IF('Prover Data Entry'!B71="",0,IF(NomValUnit="Nominal Volume (L)",Calculations!D18*(('Prover Data Entry'!C71+('Prover Data Entry'!E71/1000))*(1+((VLOOKUP('Prover Data Entry'!B71,Standards_Table_B,6,FALSE)+VLOOKUP('Prover Data Entry'!B71,Standards_Table_B,6,FALSE)*5%))*(Calculations!C18-Calculations!B18))),Calculations!D18*(('Prover Data Entry'!C71+('Prover Data Entry'!E71/231))*(1+((VLOOKUP('Prover Data Entry'!B71,Standards_Table_B,6,FALSE)+VLOOKUP('Prover Data Entry'!B71,Standards_Table_B,6,FALSE)*5%))*(Calculations!C18-Calculations!B18)))))</f>
        <v>0</v>
      </c>
      <c r="H57" s="479"/>
      <c r="I57" s="495"/>
      <c r="J57" s="495"/>
      <c r="K57" s="483"/>
      <c r="L57" s="485"/>
    </row>
    <row r="58" spans="1:12" ht="16.5">
      <c r="A58" s="476"/>
      <c r="B58" s="477"/>
      <c r="C58" s="478"/>
      <c r="D58" s="491" t="s">
        <v>624</v>
      </c>
      <c r="E58" s="492"/>
      <c r="F58" s="492" t="s">
        <v>610</v>
      </c>
      <c r="G58" s="437">
        <f>IF('Prover Data Entry'!B72="",0,IF(NomValUnit="Nominal Volume (L)",Calculations!D19*(('Prover Data Entry'!C72+('Prover Data Entry'!E72/1000))*(1+((VLOOKUP('Prover Data Entry'!B72,Standards_Table_B,6,FALSE)+VLOOKUP('Prover Data Entry'!B72,Standards_Table_B,6,FALSE)*5%))*(Calculations!C19-Calculations!B19))),Calculations!D19*(('Prover Data Entry'!C72+('Prover Data Entry'!E72/231))*(1+((VLOOKUP('Prover Data Entry'!B72,Standards_Table_B,6,FALSE)+VLOOKUP('Prover Data Entry'!B72,Standards_Table_B,6,FALSE)*5%))*(Calculations!C19-Calculations!B19)))))</f>
        <v>0</v>
      </c>
      <c r="H58" s="479"/>
      <c r="I58" s="495"/>
      <c r="J58" s="495"/>
      <c r="K58" s="483"/>
      <c r="L58" s="485"/>
    </row>
    <row r="59" spans="1:12" ht="16.5">
      <c r="A59" s="476"/>
      <c r="B59" s="477"/>
      <c r="C59" s="478"/>
      <c r="D59" s="491" t="s">
        <v>625</v>
      </c>
      <c r="E59" s="492"/>
      <c r="F59" s="492" t="s">
        <v>610</v>
      </c>
      <c r="G59" s="437">
        <f>IF('Prover Data Entry'!B73="",0,IF(NomValUnit="Nominal Volume (L)",Calculations!D20*(('Prover Data Entry'!C73+('Prover Data Entry'!E73/1000))*(1+((VLOOKUP('Prover Data Entry'!B73,Standards_Table_B,6,FALSE)+VLOOKUP('Prover Data Entry'!B73,Standards_Table_B,6,FALSE)*5%))*(Calculations!C20-Calculations!B20))),Calculations!D20*(('Prover Data Entry'!C73+('Prover Data Entry'!E73/231))*(1+((VLOOKUP('Prover Data Entry'!B73,Standards_Table_B,6,FALSE)+VLOOKUP('Prover Data Entry'!B73,Standards_Table_B,6,FALSE)*5%))*(Calculations!C20-Calculations!B20)))))</f>
        <v>0</v>
      </c>
      <c r="H59" s="479"/>
      <c r="I59" s="495"/>
      <c r="J59" s="495"/>
      <c r="K59" s="483"/>
      <c r="L59" s="485"/>
    </row>
    <row r="60" spans="1:12" ht="7.5" customHeight="1">
      <c r="A60" s="502"/>
      <c r="B60" s="503"/>
      <c r="C60" s="504"/>
      <c r="D60" s="510"/>
      <c r="E60" s="511"/>
      <c r="F60" s="511"/>
      <c r="G60" s="507"/>
      <c r="H60" s="507"/>
      <c r="I60" s="512"/>
      <c r="J60" s="512"/>
      <c r="K60" s="827"/>
      <c r="L60" s="828"/>
    </row>
    <row r="61" spans="1:12" ht="16.5">
      <c r="A61" s="820" t="s">
        <v>626</v>
      </c>
      <c r="B61" s="821"/>
      <c r="C61" s="822"/>
      <c r="D61" s="829" t="s">
        <v>627</v>
      </c>
      <c r="E61" s="830"/>
      <c r="F61" s="830"/>
      <c r="G61" s="437">
        <f>IF(B="",0,Calculations!E21/(Calculations!D23*(1+(B+D92)*(Calculations!D24-RefT))))</f>
        <v>0</v>
      </c>
      <c r="H61" s="437"/>
      <c r="I61" s="496"/>
      <c r="J61" s="495" t="s">
        <v>628</v>
      </c>
      <c r="K61" s="437">
        <f>Calculations!E27</f>
      </c>
      <c r="L61" s="438"/>
    </row>
    <row r="62" spans="1:12" s="514" customFormat="1" ht="7.5" customHeight="1">
      <c r="A62" s="502"/>
      <c r="B62" s="503"/>
      <c r="C62" s="504"/>
      <c r="D62" s="505"/>
      <c r="E62" s="506"/>
      <c r="F62" s="506"/>
      <c r="G62" s="507"/>
      <c r="H62" s="507"/>
      <c r="I62" s="506"/>
      <c r="J62" s="506"/>
      <c r="K62" s="507"/>
      <c r="L62" s="513"/>
    </row>
    <row r="63" spans="1:12" ht="19.5">
      <c r="A63" s="820" t="s">
        <v>162</v>
      </c>
      <c r="B63" s="821"/>
      <c r="C63" s="822"/>
      <c r="D63" s="491" t="s">
        <v>609</v>
      </c>
      <c r="E63" s="492"/>
      <c r="F63" s="492" t="s">
        <v>629</v>
      </c>
      <c r="G63" s="479">
        <f>IF('Prover Data Entry'!B59="",0,IF(NomValUnit="Nominal Volume (L)",Calculations!D6*(('Prover Data Entry'!C59+('Prover Data Entry'!E59/1000))*(1+(VLOOKUP('Prover Data Entry'!B59,Standards_Table_B,6,FALSE))*((Calculations!C6+$D$93)-Calculations!B6))),Calculations!D6*(('Prover Data Entry'!C59+('Prover Data Entry'!E59/231))*(1+(VLOOKUP('Prover Data Entry'!B59,Standards_Table_B,6,FALSE))*((Calculations!C6+$D$93)-Calculations!B6)))))</f>
        <v>0</v>
      </c>
      <c r="H63" s="479"/>
      <c r="I63" s="495"/>
      <c r="J63" s="495"/>
      <c r="K63" s="479"/>
      <c r="L63" s="480"/>
    </row>
    <row r="64" spans="1:12" ht="19.5">
      <c r="A64" s="476"/>
      <c r="B64" s="477"/>
      <c r="C64" s="478"/>
      <c r="D64" s="491" t="s">
        <v>612</v>
      </c>
      <c r="E64" s="492"/>
      <c r="F64" s="492" t="s">
        <v>629</v>
      </c>
      <c r="G64" s="479">
        <f>IF('Prover Data Entry'!B60="",0,IF(NomValUnit="Nominal Volume (L)",Calculations!D7*(('Prover Data Entry'!C60+('Prover Data Entry'!E60/1000))*(1+(VLOOKUP('Prover Data Entry'!B60,Standards_Table_B,6,FALSE))*((Calculations!C7+$D$93)-Calculations!B7))),Calculations!D7*(('Prover Data Entry'!C60+('Prover Data Entry'!E60/231))*(1+(VLOOKUP('Prover Data Entry'!B60,Standards_Table_B,6,FALSE))*((Calculations!C7+$D$93)-Calculations!B7)))))</f>
        <v>0</v>
      </c>
      <c r="H64" s="479"/>
      <c r="I64" s="495"/>
      <c r="J64" s="495"/>
      <c r="K64" s="479"/>
      <c r="L64" s="480"/>
    </row>
    <row r="65" spans="1:12" ht="19.5">
      <c r="A65" s="476"/>
      <c r="B65" s="477"/>
      <c r="C65" s="478"/>
      <c r="D65" s="491" t="s">
        <v>613</v>
      </c>
      <c r="E65" s="492"/>
      <c r="F65" s="492" t="s">
        <v>629</v>
      </c>
      <c r="G65" s="479">
        <f>IF('Prover Data Entry'!B61="",0,IF(NomValUnit="Nominal Volume (L)",Calculations!D8*(('Prover Data Entry'!C61+('Prover Data Entry'!E61/1000))*(1+(VLOOKUP('Prover Data Entry'!B61,Standards_Table_B,6,FALSE))*((Calculations!C8+$D$93)-Calculations!B8))),Calculations!D8*(('Prover Data Entry'!C61+('Prover Data Entry'!E61/231))*(1+(VLOOKUP('Prover Data Entry'!B61,Standards_Table_B,6,FALSE))*((Calculations!C8+$D$93)-Calculations!B8)))))</f>
        <v>0</v>
      </c>
      <c r="H65" s="479"/>
      <c r="I65" s="495"/>
      <c r="J65" s="495"/>
      <c r="K65" s="479"/>
      <c r="L65" s="480"/>
    </row>
    <row r="66" spans="1:12" ht="19.5">
      <c r="A66" s="476"/>
      <c r="B66" s="477"/>
      <c r="C66" s="478"/>
      <c r="D66" s="491" t="s">
        <v>614</v>
      </c>
      <c r="E66" s="492"/>
      <c r="F66" s="492" t="s">
        <v>629</v>
      </c>
      <c r="G66" s="479">
        <f>IF('Prover Data Entry'!B62="",0,IF(NomValUnit="Nominal Volume (L)",Calculations!D9*(('Prover Data Entry'!C62+('Prover Data Entry'!E62/1000))*(1+(VLOOKUP('Prover Data Entry'!B62,Standards_Table_B,6,FALSE))*((Calculations!C9+$D$93)-Calculations!B9))),Calculations!D9*(('Prover Data Entry'!C62+('Prover Data Entry'!E62/231))*(1+(VLOOKUP('Prover Data Entry'!B62,Standards_Table_B,6,FALSE))*((Calculations!C9+$D$93)-Calculations!B9)))))</f>
        <v>0</v>
      </c>
      <c r="H66" s="479"/>
      <c r="I66" s="495"/>
      <c r="J66" s="495"/>
      <c r="K66" s="479"/>
      <c r="L66" s="480"/>
    </row>
    <row r="67" spans="1:12" ht="19.5">
      <c r="A67" s="476"/>
      <c r="B67" s="477"/>
      <c r="C67" s="478"/>
      <c r="D67" s="491" t="s">
        <v>615</v>
      </c>
      <c r="E67" s="492"/>
      <c r="F67" s="492" t="s">
        <v>629</v>
      </c>
      <c r="G67" s="479">
        <f>IF('Prover Data Entry'!B63="",0,IF(NomValUnit="Nominal Volume (L)",Calculations!D10*(('Prover Data Entry'!C63+('Prover Data Entry'!E63/1000))*(1+(VLOOKUP('Prover Data Entry'!B63,Standards_Table_B,6,FALSE))*((Calculations!C10+$D$93)-Calculations!B10))),Calculations!D10*(('Prover Data Entry'!C63+('Prover Data Entry'!E63/231))*(1+(VLOOKUP('Prover Data Entry'!B63,Standards_Table_B,6,FALSE))*((Calculations!C10+$D$93)-Calculations!B10)))))</f>
        <v>0</v>
      </c>
      <c r="H67" s="479"/>
      <c r="I67" s="495"/>
      <c r="J67" s="495"/>
      <c r="K67" s="479"/>
      <c r="L67" s="480"/>
    </row>
    <row r="68" spans="1:12" ht="19.5">
      <c r="A68" s="476"/>
      <c r="B68" s="477"/>
      <c r="C68" s="478"/>
      <c r="D68" s="491" t="s">
        <v>616</v>
      </c>
      <c r="E68" s="492"/>
      <c r="F68" s="492" t="s">
        <v>629</v>
      </c>
      <c r="G68" s="479">
        <f>IF('Prover Data Entry'!B64="",0,IF(NomValUnit="Nominal Volume (L)",Calculations!D11*(('Prover Data Entry'!C64+('Prover Data Entry'!E64/1000))*(1+(VLOOKUP('Prover Data Entry'!B64,Standards_Table_B,6,FALSE))*((Calculations!C11+$D$93)-Calculations!B11))),Calculations!D11*(('Prover Data Entry'!C64+('Prover Data Entry'!E64/231))*(1+(VLOOKUP('Prover Data Entry'!B64,Standards_Table_B,6,FALSE))*((Calculations!C11+$D$93)-Calculations!B11)))))</f>
        <v>0</v>
      </c>
      <c r="H68" s="479"/>
      <c r="I68" s="495"/>
      <c r="J68" s="495"/>
      <c r="K68" s="479"/>
      <c r="L68" s="480"/>
    </row>
    <row r="69" spans="1:12" ht="19.5">
      <c r="A69" s="476"/>
      <c r="B69" s="477"/>
      <c r="C69" s="478"/>
      <c r="D69" s="491" t="s">
        <v>617</v>
      </c>
      <c r="E69" s="492"/>
      <c r="F69" s="492" t="s">
        <v>629</v>
      </c>
      <c r="G69" s="479">
        <f>IF('Prover Data Entry'!B65="",0,IF(NomValUnit="Nominal Volume (L)",Calculations!D12*(('Prover Data Entry'!C65+('Prover Data Entry'!E65/1000))*(1+(VLOOKUP('Prover Data Entry'!B65,Standards_Table_B,6,FALSE))*((Calculations!C12+$D$93)-Calculations!B12))),Calculations!D12*(('Prover Data Entry'!C65+('Prover Data Entry'!E65/231))*(1+(VLOOKUP('Prover Data Entry'!B65,Standards_Table_B,6,FALSE))*((Calculations!C12+$D$93)-Calculations!B12)))))</f>
        <v>0</v>
      </c>
      <c r="H69" s="479"/>
      <c r="I69" s="495"/>
      <c r="J69" s="495"/>
      <c r="K69" s="479"/>
      <c r="L69" s="480"/>
    </row>
    <row r="70" spans="1:12" ht="19.5">
      <c r="A70" s="476"/>
      <c r="B70" s="477"/>
      <c r="C70" s="478"/>
      <c r="D70" s="491" t="s">
        <v>618</v>
      </c>
      <c r="E70" s="492"/>
      <c r="F70" s="492" t="s">
        <v>629</v>
      </c>
      <c r="G70" s="479">
        <f>IF('Prover Data Entry'!B66="",0,IF(NomValUnit="Nominal Volume (L)",Calculations!D13*(('Prover Data Entry'!C66+('Prover Data Entry'!E66/1000))*(1+(VLOOKUP('Prover Data Entry'!B66,Standards_Table_B,6,FALSE))*((Calculations!C13+$D$93)-Calculations!B13))),Calculations!D13*(('Prover Data Entry'!C66+('Prover Data Entry'!E66/231))*(1+(VLOOKUP('Prover Data Entry'!B66,Standards_Table_B,6,FALSE))*((Calculations!C13+$D$93)-Calculations!B13)))))</f>
        <v>0</v>
      </c>
      <c r="H70" s="479"/>
      <c r="I70" s="495"/>
      <c r="J70" s="495"/>
      <c r="K70" s="479"/>
      <c r="L70" s="480"/>
    </row>
    <row r="71" spans="1:12" ht="19.5">
      <c r="A71" s="476"/>
      <c r="B71" s="477"/>
      <c r="C71" s="478"/>
      <c r="D71" s="491" t="s">
        <v>619</v>
      </c>
      <c r="E71" s="492"/>
      <c r="F71" s="492" t="s">
        <v>629</v>
      </c>
      <c r="G71" s="479">
        <f>IF('Prover Data Entry'!B67="",0,IF(NomValUnit="Nominal Volume (L)",Calculations!D14*(('Prover Data Entry'!C67+('Prover Data Entry'!E67/1000))*(1+(VLOOKUP('Prover Data Entry'!B67,Standards_Table_B,6,FALSE))*((Calculations!C14+$D$93)-Calculations!B14))),Calculations!D14*(('Prover Data Entry'!C67+('Prover Data Entry'!E67/231))*(1+(VLOOKUP('Prover Data Entry'!B67,Standards_Table_B,6,FALSE))*((Calculations!C14+$D$93)-Calculations!B14)))))</f>
        <v>0</v>
      </c>
      <c r="H71" s="479"/>
      <c r="I71" s="495"/>
      <c r="J71" s="495"/>
      <c r="K71" s="479"/>
      <c r="L71" s="480"/>
    </row>
    <row r="72" spans="1:12" ht="19.5">
      <c r="A72" s="476"/>
      <c r="B72" s="477"/>
      <c r="C72" s="478"/>
      <c r="D72" s="491" t="s">
        <v>620</v>
      </c>
      <c r="E72" s="492"/>
      <c r="F72" s="492" t="s">
        <v>629</v>
      </c>
      <c r="G72" s="479">
        <f>IF('Prover Data Entry'!B68="",0,IF(NomValUnit="Nominal Volume (L)",Calculations!D15*(('Prover Data Entry'!C68+('Prover Data Entry'!E68/1000))*(1+(VLOOKUP('Prover Data Entry'!B68,Standards_Table_B,6,FALSE))*((Calculations!C15+$D$93)-Calculations!B15))),Calculations!D15*(('Prover Data Entry'!C68+('Prover Data Entry'!E68/231))*(1+(VLOOKUP('Prover Data Entry'!B68,Standards_Table_B,6,FALSE))*((Calculations!C15+$D$93)-Calculations!B15)))))</f>
        <v>0</v>
      </c>
      <c r="H72" s="479"/>
      <c r="I72" s="495"/>
      <c r="J72" s="495"/>
      <c r="K72" s="479"/>
      <c r="L72" s="480"/>
    </row>
    <row r="73" spans="1:12" ht="19.5">
      <c r="A73" s="476"/>
      <c r="B73" s="477"/>
      <c r="C73" s="478"/>
      <c r="D73" s="491" t="s">
        <v>621</v>
      </c>
      <c r="E73" s="492"/>
      <c r="F73" s="492" t="s">
        <v>629</v>
      </c>
      <c r="G73" s="479">
        <f>IF('Prover Data Entry'!B69="",0,IF(NomValUnit="Nominal Volume (L)",Calculations!D16*(('Prover Data Entry'!C69+('Prover Data Entry'!E69/1000))*(1+(VLOOKUP('Prover Data Entry'!B69,Standards_Table_B,6,FALSE))*((Calculations!C16+$D$93)-Calculations!B16))),Calculations!D16*(('Prover Data Entry'!C69+('Prover Data Entry'!E69/231))*(1+(VLOOKUP('Prover Data Entry'!B69,Standards_Table_B,6,FALSE))*((Calculations!C16+$D$93)-Calculations!B16)))))</f>
        <v>0</v>
      </c>
      <c r="H73" s="479"/>
      <c r="I73" s="495"/>
      <c r="J73" s="495"/>
      <c r="K73" s="479"/>
      <c r="L73" s="480"/>
    </row>
    <row r="74" spans="1:12" ht="19.5">
      <c r="A74" s="476"/>
      <c r="B74" s="477"/>
      <c r="C74" s="478"/>
      <c r="D74" s="491" t="s">
        <v>622</v>
      </c>
      <c r="E74" s="492"/>
      <c r="F74" s="492" t="s">
        <v>629</v>
      </c>
      <c r="G74" s="479">
        <f>IF('Prover Data Entry'!B70="",0,IF(NomValUnit="Nominal Volume (L)",Calculations!D17*(('Prover Data Entry'!C70+('Prover Data Entry'!E70/1000))*(1+(VLOOKUP('Prover Data Entry'!B70,Standards_Table_B,6,FALSE))*((Calculations!C17+$D$93)-Calculations!B17))),Calculations!D17*(('Prover Data Entry'!C70+('Prover Data Entry'!E70/231))*(1+(VLOOKUP('Prover Data Entry'!B70,Standards_Table_B,6,FALSE))*((Calculations!C17+$D$93)-Calculations!B17)))))</f>
        <v>0</v>
      </c>
      <c r="H74" s="479"/>
      <c r="I74" s="495"/>
      <c r="J74" s="495"/>
      <c r="K74" s="479"/>
      <c r="L74" s="480"/>
    </row>
    <row r="75" spans="1:12" ht="19.5">
      <c r="A75" s="476"/>
      <c r="B75" s="477"/>
      <c r="C75" s="478"/>
      <c r="D75" s="491" t="s">
        <v>623</v>
      </c>
      <c r="E75" s="492"/>
      <c r="F75" s="492" t="s">
        <v>629</v>
      </c>
      <c r="G75" s="479">
        <f>IF('Prover Data Entry'!B71="",0,IF(NomValUnit="Nominal Volume (L)",Calculations!D18*(('Prover Data Entry'!C71+('Prover Data Entry'!E71/1000))*(1+(VLOOKUP('Prover Data Entry'!B71,Standards_Table_B,6,FALSE))*((Calculations!C18+$D$93)-Calculations!B18))),Calculations!D18*(('Prover Data Entry'!C71+('Prover Data Entry'!E71/231))*(1+(VLOOKUP('Prover Data Entry'!B71,Standards_Table_B,6,FALSE))*((Calculations!C18+$D$93)-Calculations!B18)))))</f>
        <v>0</v>
      </c>
      <c r="H75" s="479"/>
      <c r="I75" s="495"/>
      <c r="J75" s="495"/>
      <c r="K75" s="479"/>
      <c r="L75" s="480"/>
    </row>
    <row r="76" spans="1:12" ht="19.5">
      <c r="A76" s="476"/>
      <c r="B76" s="477"/>
      <c r="C76" s="478"/>
      <c r="D76" s="491" t="s">
        <v>624</v>
      </c>
      <c r="E76" s="492"/>
      <c r="F76" s="492" t="s">
        <v>629</v>
      </c>
      <c r="G76" s="479">
        <f>IF('Prover Data Entry'!B72="",0,IF(NomValUnit="Nominal Volume (L)",Calculations!D19*(('Prover Data Entry'!C72+('Prover Data Entry'!E72/1000))*(1+(VLOOKUP('Prover Data Entry'!B72,Standards_Table_B,6,FALSE))*((Calculations!C19+$D$93)-Calculations!B19))),Calculations!D19*(('Prover Data Entry'!C72+('Prover Data Entry'!E72/231))*(1+(VLOOKUP('Prover Data Entry'!B72,Standards_Table_B,6,FALSE))*((Calculations!C19+$D$93)-Calculations!B19)))))</f>
        <v>0</v>
      </c>
      <c r="H76" s="479"/>
      <c r="I76" s="495"/>
      <c r="J76" s="495"/>
      <c r="K76" s="479"/>
      <c r="L76" s="480"/>
    </row>
    <row r="77" spans="1:12" ht="19.5">
      <c r="A77" s="476"/>
      <c r="B77" s="477"/>
      <c r="C77" s="478"/>
      <c r="D77" s="491" t="s">
        <v>625</v>
      </c>
      <c r="E77" s="492"/>
      <c r="F77" s="492" t="s">
        <v>629</v>
      </c>
      <c r="G77" s="479">
        <f>IF('Prover Data Entry'!B73="",0,IF(NomValUnit="Nominal Volume (L)",Calculations!D20*(('Prover Data Entry'!C73+('Prover Data Entry'!E73/1000))*(1+(VLOOKUP('Prover Data Entry'!B73,Standards_Table_B,6,FALSE))*((Calculations!C20+$D$93)-Calculations!B20))),Calculations!D20*(('Prover Data Entry'!C73+('Prover Data Entry'!E73/231))*(1+(VLOOKUP('Prover Data Entry'!B73,Standards_Table_B,6,FALSE))*((Calculations!C20+$D$93)-Calculations!B20)))))</f>
        <v>0</v>
      </c>
      <c r="H77" s="479"/>
      <c r="I77" s="495"/>
      <c r="J77" s="495"/>
      <c r="K77" s="479"/>
      <c r="L77" s="480"/>
    </row>
    <row r="78" spans="1:12" s="514" customFormat="1" ht="7.5" customHeight="1">
      <c r="A78" s="502"/>
      <c r="B78" s="503"/>
      <c r="C78" s="504"/>
      <c r="D78" s="505"/>
      <c r="E78" s="506"/>
      <c r="F78" s="506"/>
      <c r="G78" s="507"/>
      <c r="H78" s="507"/>
      <c r="I78" s="506"/>
      <c r="J78" s="506"/>
      <c r="K78" s="507"/>
      <c r="L78" s="513"/>
    </row>
    <row r="79" spans="1:12" ht="19.5">
      <c r="A79" s="820" t="s">
        <v>630</v>
      </c>
      <c r="B79" s="821"/>
      <c r="C79" s="822"/>
      <c r="D79" s="494"/>
      <c r="E79" s="495"/>
      <c r="F79" s="492" t="s">
        <v>631</v>
      </c>
      <c r="G79" s="479">
        <f>IF(RefT="",0,Calculations!E21/(Calculations!D23*(1+B*((Calculations!D24+D95)-RefT))))</f>
        <v>0</v>
      </c>
      <c r="H79" s="479"/>
      <c r="I79" s="495"/>
      <c r="J79" s="495"/>
      <c r="K79" s="479"/>
      <c r="L79" s="480"/>
    </row>
    <row r="80" spans="1:12" s="514" customFormat="1" ht="7.5" customHeight="1">
      <c r="A80" s="817"/>
      <c r="B80" s="818"/>
      <c r="C80" s="819"/>
      <c r="D80" s="505"/>
      <c r="E80" s="506"/>
      <c r="F80" s="511"/>
      <c r="G80" s="507"/>
      <c r="H80" s="507"/>
      <c r="I80" s="506"/>
      <c r="J80" s="506"/>
      <c r="K80" s="507"/>
      <c r="L80" s="513"/>
    </row>
    <row r="81" spans="1:12" ht="19.5">
      <c r="A81" s="820" t="s">
        <v>662</v>
      </c>
      <c r="B81" s="821"/>
      <c r="C81" s="822"/>
      <c r="D81" s="494"/>
      <c r="E81" s="495"/>
      <c r="F81" s="492" t="s">
        <v>666</v>
      </c>
      <c r="G81" s="479">
        <f>IF(Z60_2="",0,IF(Scale_Unit="Scale Graduations (in³)",('Pressure Corrections'!B31-'Pressure Corrections'!B31+('Water Compressability'!$D$39*Nom_Val*231)*((100-('Pressure Corrections'!A31+2.5))/100)),IF(Scale_Unit="Scale Graduations (mL)",('Pressure Corrections'!B31-'Pressure Corrections'!B31+('Water Compressability'!$D$39*Nom_Val*1000)*((100-('Pressure Corrections'!A31+2.5))/100)),('Pressure Corrections'!B31-'Pressure Corrections'!B31+('Water Compressability'!$D$39*Nom_Val)*((100-('Pressure Corrections'!A31+2.5))/100)))))</f>
        <v>0</v>
      </c>
      <c r="H81" s="479"/>
      <c r="I81" s="495"/>
      <c r="J81" s="492" t="s">
        <v>667</v>
      </c>
      <c r="K81" s="479">
        <f>'Pressure Corrections'!C31</f>
      </c>
      <c r="L81" s="480"/>
    </row>
    <row r="82" spans="1:8" ht="12" customHeight="1">
      <c r="A82" s="439"/>
      <c r="B82" s="439"/>
      <c r="C82" s="439"/>
      <c r="D82" s="439"/>
      <c r="E82" s="439"/>
      <c r="F82" s="439"/>
      <c r="G82" s="439"/>
      <c r="H82" s="439"/>
    </row>
    <row r="83" spans="1:14" ht="18.75" thickBot="1">
      <c r="A83" s="440" t="s">
        <v>632</v>
      </c>
      <c r="B83" s="406"/>
      <c r="C83" s="406"/>
      <c r="D83" s="406"/>
      <c r="E83" s="406"/>
      <c r="F83" s="406"/>
      <c r="G83" s="406"/>
      <c r="H83" s="406"/>
      <c r="I83" s="406"/>
      <c r="J83" s="406"/>
      <c r="K83" s="406"/>
      <c r="L83" s="406"/>
      <c r="N83" s="441"/>
    </row>
    <row r="84" spans="1:14" ht="49.5">
      <c r="A84" s="823" t="s">
        <v>633</v>
      </c>
      <c r="B84" s="824"/>
      <c r="C84" s="442" t="s">
        <v>634</v>
      </c>
      <c r="D84" s="442" t="s">
        <v>635</v>
      </c>
      <c r="E84" s="442" t="s">
        <v>636</v>
      </c>
      <c r="F84" s="443" t="str">
        <f>"Reported Unc 
"&amp;IF(NomValUnit="Nominal Volume (gal)","(gal)","(L)")</f>
        <v>Reported Unc 
(L)</v>
      </c>
      <c r="G84" s="444" t="s">
        <v>23</v>
      </c>
      <c r="H84" s="445" t="s">
        <v>41</v>
      </c>
      <c r="I84" s="446" t="s">
        <v>637</v>
      </c>
      <c r="J84" s="447" t="str">
        <f>"Standard Unc 
"&amp;IF(NomValUnit="Nominal Volume (gal)","(gal)","(L)")</f>
        <v>Standard Unc 
(L)</v>
      </c>
      <c r="K84" s="448" t="s">
        <v>638</v>
      </c>
      <c r="L84" s="449" t="s">
        <v>484</v>
      </c>
      <c r="N84" s="441"/>
    </row>
    <row r="85" spans="1:14" ht="16.5">
      <c r="A85" s="825" t="s">
        <v>639</v>
      </c>
      <c r="B85" s="826"/>
      <c r="C85" s="450" t="str">
        <f>A24</f>
        <v>s(p)</v>
      </c>
      <c r="D85" s="450">
        <f>IF(PooledSD="",0,PooledSD)</f>
        <v>0</v>
      </c>
      <c r="E85" s="450" t="str">
        <f aca="true" t="shared" si="0" ref="E85:E90">IF(NomValUnit="Nominal Volume (gal)","gal","L")</f>
        <v>L</v>
      </c>
      <c r="F85" s="451">
        <f aca="true" t="shared" si="1" ref="F85:F90">D85</f>
        <v>0</v>
      </c>
      <c r="G85" s="452" t="s">
        <v>25</v>
      </c>
      <c r="H85" s="453" t="s">
        <v>42</v>
      </c>
      <c r="I85" s="454">
        <v>1</v>
      </c>
      <c r="J85" s="481">
        <f aca="true" t="shared" si="2" ref="J85:J95">F85/I85</f>
        <v>0</v>
      </c>
      <c r="K85" s="455">
        <f aca="true" t="shared" si="3" ref="K85:K95">IF($K$96="","",J85^2/$K$96^2)</f>
      </c>
      <c r="L85" s="456">
        <f>IF(J85=0,1,df)</f>
        <v>1</v>
      </c>
      <c r="N85" s="441"/>
    </row>
    <row r="86" spans="1:14" ht="16.5">
      <c r="A86" s="813" t="s">
        <v>161</v>
      </c>
      <c r="B86" s="814"/>
      <c r="C86" s="450" t="str">
        <f>A25</f>
        <v>u(s)</v>
      </c>
      <c r="D86" s="450">
        <f>IF(_unc1=0,0,_unc1/k_1*drops1+_unc2/k_2*drops2+_unc3/k_3*drops3+_unc4/k_4*drops4)</f>
        <v>0</v>
      </c>
      <c r="E86" s="450" t="str">
        <f t="shared" si="0"/>
        <v>L</v>
      </c>
      <c r="F86" s="451">
        <f t="shared" si="1"/>
        <v>0</v>
      </c>
      <c r="G86" s="457" t="s">
        <v>24</v>
      </c>
      <c r="H86" s="458" t="s">
        <v>42</v>
      </c>
      <c r="I86" s="459">
        <v>1</v>
      </c>
      <c r="J86" s="481">
        <f t="shared" si="2"/>
        <v>0</v>
      </c>
      <c r="K86" s="455">
        <f t="shared" si="3"/>
      </c>
      <c r="L86" s="456">
        <f>IF(J86=0,1,ROUNDDOWN(SQRT(((_unc1/k_1)*'Prover Data Entry'!K37^2+(_unc2/k_2)*'Prover Data Entry'!K38^2+(_unc3/k_3)*'Prover Data Entry'!K39^2+(_unc4/k_4)*'Prover Data Entry'!K40^2)/SUM((_unc1/k_1)+(_unc2/k_2)+(_unc3/k_3)+(_unc4/k_4))),0))</f>
        <v>1</v>
      </c>
      <c r="N86" s="441"/>
    </row>
    <row r="87" spans="1:14" ht="19.5">
      <c r="A87" s="813" t="s">
        <v>594</v>
      </c>
      <c r="B87" s="814"/>
      <c r="C87" s="450" t="s">
        <v>640</v>
      </c>
      <c r="D87" s="450">
        <f>IF(NomValUnit="Nominal Volume (gal)",SUM(G33:G36,L33:L36)/3785.412,SUM(G33:G36,L33:L36)/1000)</f>
        <v>0</v>
      </c>
      <c r="E87" s="450" t="str">
        <f t="shared" si="0"/>
        <v>L</v>
      </c>
      <c r="F87" s="451">
        <f t="shared" si="1"/>
        <v>0</v>
      </c>
      <c r="G87" s="457" t="s">
        <v>24</v>
      </c>
      <c r="H87" s="458" t="s">
        <v>523</v>
      </c>
      <c r="I87" s="459">
        <f>SQRT(6)</f>
        <v>2.449489742783178</v>
      </c>
      <c r="J87" s="481">
        <f t="shared" si="2"/>
        <v>0</v>
      </c>
      <c r="K87" s="455">
        <f t="shared" si="3"/>
      </c>
      <c r="L87" s="456">
        <f aca="true" t="shared" si="4" ref="L87:L95">IF(J87=0,1,10000)</f>
        <v>1</v>
      </c>
      <c r="N87" s="441"/>
    </row>
    <row r="88" spans="1:14" ht="19.5">
      <c r="A88" s="813" t="s">
        <v>601</v>
      </c>
      <c r="B88" s="814"/>
      <c r="C88" s="450" t="s">
        <v>641</v>
      </c>
      <c r="D88" s="450">
        <f>IF(NomValUnit="Nominal Volume (gal)",SUM(G38,L38)/3785.412,SUM(G38,L38)/1000)</f>
        <v>0</v>
      </c>
      <c r="E88" s="450" t="str">
        <f t="shared" si="0"/>
        <v>L</v>
      </c>
      <c r="F88" s="451">
        <f t="shared" si="1"/>
        <v>0</v>
      </c>
      <c r="G88" s="457" t="s">
        <v>24</v>
      </c>
      <c r="H88" s="458" t="s">
        <v>523</v>
      </c>
      <c r="I88" s="459">
        <f>SQRT(6)</f>
        <v>2.449489742783178</v>
      </c>
      <c r="J88" s="481">
        <f t="shared" si="2"/>
        <v>0</v>
      </c>
      <c r="K88" s="455">
        <f t="shared" si="3"/>
      </c>
      <c r="L88" s="456">
        <f t="shared" si="4"/>
        <v>1</v>
      </c>
      <c r="N88" s="441"/>
    </row>
    <row r="89" spans="1:14" ht="19.5">
      <c r="A89" s="813" t="s">
        <v>642</v>
      </c>
      <c r="B89" s="814"/>
      <c r="C89" s="450" t="s">
        <v>643</v>
      </c>
      <c r="D89" s="450">
        <f>SUM(E40:E43)</f>
        <v>0</v>
      </c>
      <c r="E89" s="450" t="str">
        <f t="shared" si="0"/>
        <v>L</v>
      </c>
      <c r="F89" s="451">
        <f t="shared" si="1"/>
        <v>0</v>
      </c>
      <c r="G89" s="457" t="s">
        <v>24</v>
      </c>
      <c r="H89" s="458" t="s">
        <v>523</v>
      </c>
      <c r="I89" s="459">
        <f>SQRT(6)</f>
        <v>2.449489742783178</v>
      </c>
      <c r="J89" s="481">
        <f t="shared" si="2"/>
        <v>0</v>
      </c>
      <c r="K89" s="455">
        <f t="shared" si="3"/>
      </c>
      <c r="L89" s="456">
        <f t="shared" si="4"/>
        <v>1</v>
      </c>
      <c r="N89" s="441"/>
    </row>
    <row r="90" spans="1:14" ht="19.5">
      <c r="A90" s="813" t="s">
        <v>644</v>
      </c>
      <c r="B90" s="814"/>
      <c r="C90" s="450" t="s">
        <v>645</v>
      </c>
      <c r="D90" s="450">
        <f>IF(GradNeckVol="",0,GradNeckVol*0.5%)</f>
        <v>0</v>
      </c>
      <c r="E90" s="450" t="str">
        <f t="shared" si="0"/>
        <v>L</v>
      </c>
      <c r="F90" s="451">
        <f t="shared" si="1"/>
        <v>0</v>
      </c>
      <c r="G90" s="457" t="s">
        <v>24</v>
      </c>
      <c r="H90" s="458" t="s">
        <v>523</v>
      </c>
      <c r="I90" s="459">
        <f>SQRT(6)</f>
        <v>2.449489742783178</v>
      </c>
      <c r="J90" s="481">
        <f t="shared" si="2"/>
        <v>0</v>
      </c>
      <c r="K90" s="455">
        <f t="shared" si="3"/>
      </c>
      <c r="L90" s="456">
        <f t="shared" si="4"/>
        <v>1</v>
      </c>
      <c r="N90" s="441"/>
    </row>
    <row r="91" spans="1:12" ht="16.5">
      <c r="A91" s="813" t="s">
        <v>646</v>
      </c>
      <c r="B91" s="814"/>
      <c r="C91" s="450" t="s">
        <v>647</v>
      </c>
      <c r="D91" s="450">
        <f>IF(ISERROR(ABS(SUM(G45:G59)-K45)),0,ABS(SUM(G45:G59)-K45))</f>
        <v>0</v>
      </c>
      <c r="E91" s="450" t="str">
        <f>IF(NomValUnit="Nominal Volume (gal)","gal","L")</f>
        <v>L</v>
      </c>
      <c r="F91" s="460">
        <f>IF(D91=0,0,D91)</f>
        <v>0</v>
      </c>
      <c r="G91" s="457" t="s">
        <v>24</v>
      </c>
      <c r="H91" s="458" t="s">
        <v>524</v>
      </c>
      <c r="I91" s="459">
        <f>SQRT(3)</f>
        <v>1.7320508075688772</v>
      </c>
      <c r="J91" s="481">
        <f t="shared" si="2"/>
        <v>0</v>
      </c>
      <c r="K91" s="455">
        <f t="shared" si="3"/>
      </c>
      <c r="L91" s="456">
        <f t="shared" si="4"/>
        <v>1</v>
      </c>
    </row>
    <row r="92" spans="1:12" ht="16.5">
      <c r="A92" s="813" t="s">
        <v>648</v>
      </c>
      <c r="B92" s="814"/>
      <c r="C92" s="450" t="s">
        <v>649</v>
      </c>
      <c r="D92" s="450">
        <f>IF(B="",0,B*5%)</f>
        <v>0</v>
      </c>
      <c r="E92" s="450" t="str">
        <f>IF(RefTempUnit="Designated Reference Temperature For This Calibration (ºC)","/ ºC","/ ºF")</f>
        <v>/ ºF</v>
      </c>
      <c r="F92" s="460">
        <f>IF(D92=0,0,ABS(G61-K61))</f>
        <v>0</v>
      </c>
      <c r="G92" s="457" t="s">
        <v>24</v>
      </c>
      <c r="H92" s="458" t="s">
        <v>524</v>
      </c>
      <c r="I92" s="459">
        <f>SQRT(3)</f>
        <v>1.7320508075688772</v>
      </c>
      <c r="J92" s="481">
        <f t="shared" si="2"/>
        <v>0</v>
      </c>
      <c r="K92" s="455">
        <f t="shared" si="3"/>
      </c>
      <c r="L92" s="456">
        <f t="shared" si="4"/>
        <v>1</v>
      </c>
    </row>
    <row r="93" spans="1:12" ht="19.5">
      <c r="A93" s="813" t="s">
        <v>650</v>
      </c>
      <c r="B93" s="814"/>
      <c r="C93" s="450" t="s">
        <v>651</v>
      </c>
      <c r="D93" s="450">
        <f>IF('Prover Data Entry'!E50="",0,IF(RefTempUnit="Designated Reference Temperature For This Calibration (ºF)",(StdTempU/StdTempk)*1.8,StdTempU/StdTempk))</f>
        <v>0</v>
      </c>
      <c r="E93" s="450" t="s">
        <v>658</v>
      </c>
      <c r="F93" s="460">
        <f>IF(D93=0,0,ABS(SUM(G63:G77)-K45))</f>
        <v>0</v>
      </c>
      <c r="G93" s="457" t="s">
        <v>24</v>
      </c>
      <c r="H93" s="458" t="s">
        <v>524</v>
      </c>
      <c r="I93" s="459">
        <f>SQRT(3)</f>
        <v>1.7320508075688772</v>
      </c>
      <c r="J93" s="481">
        <f t="shared" si="2"/>
        <v>0</v>
      </c>
      <c r="K93" s="455">
        <f t="shared" si="3"/>
      </c>
      <c r="L93" s="456">
        <f t="shared" si="4"/>
        <v>1</v>
      </c>
    </row>
    <row r="94" spans="1:12" ht="17.25" customHeight="1">
      <c r="A94" s="813" t="s">
        <v>652</v>
      </c>
      <c r="B94" s="814"/>
      <c r="C94" s="450" t="s">
        <v>653</v>
      </c>
      <c r="D94" s="450">
        <f>IF('Prover Data Entry'!E51="",0,IF(RefTempUnit="Designated Reference Temperature For This Calibration (ºF)",(ProverTempU/ProverTempk)*1.8,ProverTempU/ProverTempk))</f>
        <v>0</v>
      </c>
      <c r="E94" s="450" t="s">
        <v>658</v>
      </c>
      <c r="F94" s="460">
        <f>IF(D94=0,0,ABS(G79-Calculations!E27))</f>
        <v>0</v>
      </c>
      <c r="G94" s="457" t="s">
        <v>24</v>
      </c>
      <c r="H94" s="458" t="s">
        <v>524</v>
      </c>
      <c r="I94" s="459">
        <f>SQRT(3)</f>
        <v>1.7320508075688772</v>
      </c>
      <c r="J94" s="481">
        <f t="shared" si="2"/>
        <v>0</v>
      </c>
      <c r="K94" s="455">
        <f t="shared" si="3"/>
      </c>
      <c r="L94" s="456">
        <f t="shared" si="4"/>
        <v>1</v>
      </c>
    </row>
    <row r="95" spans="1:12" ht="17.25" customHeight="1">
      <c r="A95" s="813" t="s">
        <v>662</v>
      </c>
      <c r="B95" s="814"/>
      <c r="C95" s="450" t="str">
        <f>A30</f>
        <v>u(psig)</v>
      </c>
      <c r="D95" s="450">
        <f>IF(ISERROR(G81-K81),0,G81-K81)</f>
        <v>0</v>
      </c>
      <c r="E95" s="450" t="str">
        <f>IF(Scale_Unit="Scale Graduations (gal)","gal",IF(Scale_Unit="Scale Graduations (in³)","in³",IF(Scale_Unit="Scale Graduations (mL)","mL","L")))</f>
        <v>L</v>
      </c>
      <c r="F95" s="460">
        <f>IF(D95=0,0,IF(Scale_Unit="Scale Graduations (in³)",ABS(D95)/231,IF(Scale_Unit="Scale Graduations (mL)",ABS(D95)/1000,ABS(D95))))</f>
        <v>0</v>
      </c>
      <c r="G95" s="457" t="s">
        <v>24</v>
      </c>
      <c r="H95" s="458" t="s">
        <v>524</v>
      </c>
      <c r="I95" s="459">
        <f>SQRT(3)</f>
        <v>1.7320508075688772</v>
      </c>
      <c r="J95" s="481">
        <f t="shared" si="2"/>
        <v>0</v>
      </c>
      <c r="K95" s="455">
        <f t="shared" si="3"/>
      </c>
      <c r="L95" s="456">
        <f t="shared" si="4"/>
        <v>1</v>
      </c>
    </row>
    <row r="96" spans="1:14" ht="17.25" customHeight="1">
      <c r="A96" s="461"/>
      <c r="B96" s="462"/>
      <c r="C96" s="462"/>
      <c r="D96" s="462"/>
      <c r="E96" s="462"/>
      <c r="F96" s="462"/>
      <c r="G96" s="462"/>
      <c r="H96" s="462"/>
      <c r="I96" s="462"/>
      <c r="J96" s="463" t="s">
        <v>516</v>
      </c>
      <c r="K96" s="464">
        <f>IF(SUM(J85:J95)=0,"",SQRT(SUMSQ(J85:J95)))</f>
      </c>
      <c r="L96" s="465" t="str">
        <f>IF(NomValUnit="Nominal Volume (gal)","gal","L")</f>
        <v>L</v>
      </c>
      <c r="N96" s="466"/>
    </row>
    <row r="97" spans="1:14" ht="19.5">
      <c r="A97" s="467"/>
      <c r="B97" s="462"/>
      <c r="C97" s="462"/>
      <c r="D97" s="462"/>
      <c r="E97" s="462"/>
      <c r="F97" s="462"/>
      <c r="G97" s="462"/>
      <c r="H97" s="462"/>
      <c r="I97" s="462"/>
      <c r="J97" s="463" t="s">
        <v>517</v>
      </c>
      <c r="K97" s="464">
        <f>IF(MAX(L85:L95)=1,"",ROUNDDOWN(K96^4/((J85^4/L85)+(J86^4/L86)+(J87^4/L87)+(J88^4/L88)+(J89^4/L89)+(J90^4/L90)+(J91^4/L91)+(J92^4/L92)+(J93^4/L93)+(J94^4/L94)+(J95^4/L95)),0))</f>
      </c>
      <c r="L97" s="465"/>
      <c r="N97" s="466"/>
    </row>
    <row r="98" spans="1:14" ht="16.5">
      <c r="A98" s="461"/>
      <c r="B98" s="462"/>
      <c r="C98" s="462"/>
      <c r="D98" s="462"/>
      <c r="E98" s="462"/>
      <c r="F98" s="462"/>
      <c r="G98" s="462"/>
      <c r="H98" s="462"/>
      <c r="I98" s="462"/>
      <c r="J98" s="463" t="s">
        <v>518</v>
      </c>
      <c r="K98" s="464">
        <f>IF(Veff="","",ROUND(TINV(0.0455,Veff),3))</f>
      </c>
      <c r="L98" s="465"/>
      <c r="N98" s="466"/>
    </row>
    <row r="99" spans="1:14" ht="19.5">
      <c r="A99" s="461"/>
      <c r="B99" s="462"/>
      <c r="C99" s="462"/>
      <c r="D99" s="462"/>
      <c r="E99" s="462"/>
      <c r="F99" s="462"/>
      <c r="G99" s="462"/>
      <c r="H99" s="462"/>
      <c r="I99" s="462"/>
      <c r="J99" s="463" t="s">
        <v>519</v>
      </c>
      <c r="K99" s="464">
        <f>IF(k="","",k*K96)</f>
      </c>
      <c r="L99" s="465" t="str">
        <f>IF(NomValUnit="Nominal Volume (gal)","gal","L")</f>
        <v>L</v>
      </c>
      <c r="N99" s="441"/>
    </row>
    <row r="100" spans="1:14" ht="16.5">
      <c r="A100" s="468"/>
      <c r="B100" s="469"/>
      <c r="C100" s="469"/>
      <c r="D100" s="469"/>
      <c r="E100" s="469"/>
      <c r="F100" s="469"/>
      <c r="G100" s="469"/>
      <c r="H100" s="469"/>
      <c r="I100" s="469"/>
      <c r="J100" s="470" t="s">
        <v>654</v>
      </c>
      <c r="K100" s="471">
        <f>IF(G95="","",IF(BestU="",0,BestUdf))</f>
        <v>0</v>
      </c>
      <c r="L100" s="472"/>
      <c r="N100" s="441"/>
    </row>
    <row r="101" spans="1:14" ht="16.5">
      <c r="A101" s="468"/>
      <c r="B101" s="469"/>
      <c r="C101" s="469"/>
      <c r="D101" s="469"/>
      <c r="E101" s="469"/>
      <c r="F101" s="469"/>
      <c r="G101" s="469"/>
      <c r="H101" s="469"/>
      <c r="I101" s="469"/>
      <c r="J101" s="470" t="s">
        <v>488</v>
      </c>
      <c r="K101" s="471">
        <f>IF(G95="","",IF(BestU="",0,BestUk))</f>
        <v>0</v>
      </c>
      <c r="L101" s="472"/>
      <c r="N101" s="441"/>
    </row>
    <row r="102" spans="1:14" ht="16.5">
      <c r="A102" s="468"/>
      <c r="B102" s="469"/>
      <c r="C102" s="469"/>
      <c r="D102" s="469"/>
      <c r="E102" s="469"/>
      <c r="F102" s="469"/>
      <c r="G102" s="469"/>
      <c r="H102" s="469"/>
      <c r="I102" s="469"/>
      <c r="J102" s="470" t="s">
        <v>520</v>
      </c>
      <c r="K102" s="471">
        <f>IF(G95="","",IF(BestU="",0,BestU))</f>
        <v>0</v>
      </c>
      <c r="L102" s="472" t="str">
        <f>IF(NomValUnit="Nominal Volume (gal)","gal","L")</f>
        <v>L</v>
      </c>
      <c r="N102" s="441"/>
    </row>
    <row r="103" spans="1:14" ht="16.5">
      <c r="A103" s="579"/>
      <c r="B103" s="580"/>
      <c r="C103" s="580"/>
      <c r="D103" s="580"/>
      <c r="E103" s="580"/>
      <c r="F103" s="580"/>
      <c r="G103" s="580"/>
      <c r="H103" s="580"/>
      <c r="I103" s="580"/>
      <c r="J103" s="581" t="s">
        <v>655</v>
      </c>
      <c r="K103" s="582">
        <f>IF(BestU="",Veff,IF(MeasuredU&gt;BestU,Veff,BestUdf))</f>
      </c>
      <c r="L103" s="583"/>
      <c r="N103" s="441"/>
    </row>
    <row r="104" spans="1:14" ht="16.5">
      <c r="A104" s="579"/>
      <c r="B104" s="580"/>
      <c r="C104" s="580"/>
      <c r="D104" s="580"/>
      <c r="E104" s="580"/>
      <c r="F104" s="580"/>
      <c r="G104" s="580"/>
      <c r="H104" s="580"/>
      <c r="I104" s="580"/>
      <c r="J104" s="581" t="s">
        <v>521</v>
      </c>
      <c r="K104" s="582">
        <f>IF(BestU="",k,IF(MeasuredU&gt;BestU,k,BestUk))</f>
      </c>
      <c r="L104" s="583"/>
      <c r="N104" s="441"/>
    </row>
    <row r="105" spans="1:14" ht="19.5">
      <c r="A105" s="579"/>
      <c r="B105" s="580"/>
      <c r="C105" s="580"/>
      <c r="D105" s="580"/>
      <c r="E105" s="580"/>
      <c r="F105" s="580"/>
      <c r="G105" s="580"/>
      <c r="H105" s="580"/>
      <c r="I105" s="580"/>
      <c r="J105" s="581" t="s">
        <v>522</v>
      </c>
      <c r="K105" s="582">
        <f>IF(BestU="",k,IF(MeasuredU&gt;BestU,MeasuredU,BestU))</f>
      </c>
      <c r="L105" s="583" t="str">
        <f>IF(NomValUnit="Nominal Volume (gal)","gal","L")</f>
        <v>L</v>
      </c>
      <c r="N105" s="441"/>
    </row>
    <row r="106" spans="1:14" ht="12" customHeight="1">
      <c r="A106" s="482" t="str">
        <f>"Values in "&amp;L105</f>
        <v>Values in L</v>
      </c>
      <c r="B106" s="412"/>
      <c r="C106" s="412"/>
      <c r="D106" s="412"/>
      <c r="E106" s="412"/>
      <c r="F106" s="412"/>
      <c r="G106" s="412"/>
      <c r="H106" s="412"/>
      <c r="I106" s="412"/>
      <c r="J106" s="412"/>
      <c r="K106" s="412"/>
      <c r="L106" s="412"/>
      <c r="N106" s="413"/>
    </row>
    <row r="107" spans="1:14" ht="15">
      <c r="A107" s="473"/>
      <c r="B107" s="473"/>
      <c r="C107" s="473"/>
      <c r="D107" s="473"/>
      <c r="E107" s="473"/>
      <c r="F107" s="473"/>
      <c r="G107" s="473"/>
      <c r="H107" s="473"/>
      <c r="I107" s="473"/>
      <c r="J107" s="473"/>
      <c r="K107" s="473"/>
      <c r="L107" s="413"/>
      <c r="M107" s="413"/>
      <c r="N107" s="413"/>
    </row>
    <row r="108" spans="1:14" ht="15">
      <c r="A108" s="473"/>
      <c r="B108" s="473"/>
      <c r="C108" s="473"/>
      <c r="D108" s="473"/>
      <c r="E108" s="473"/>
      <c r="F108" s="473"/>
      <c r="G108" s="473"/>
      <c r="H108" s="473"/>
      <c r="I108" s="473"/>
      <c r="J108" s="473"/>
      <c r="K108" s="473"/>
      <c r="L108" s="413"/>
      <c r="M108" s="413"/>
      <c r="N108" s="413"/>
    </row>
    <row r="109" spans="1:14" ht="15">
      <c r="A109" s="473"/>
      <c r="B109" s="473"/>
      <c r="C109" s="473"/>
      <c r="D109" s="473"/>
      <c r="E109" s="473"/>
      <c r="F109" s="473"/>
      <c r="G109" s="473"/>
      <c r="H109" s="473"/>
      <c r="I109" s="473"/>
      <c r="J109" s="473"/>
      <c r="K109" s="473"/>
      <c r="L109" s="413"/>
      <c r="M109" s="413"/>
      <c r="N109" s="413"/>
    </row>
    <row r="110" spans="1:14" ht="15">
      <c r="A110" s="473"/>
      <c r="B110" s="473"/>
      <c r="C110" s="473"/>
      <c r="D110" s="473"/>
      <c r="E110" s="473"/>
      <c r="F110" s="473"/>
      <c r="G110" s="473"/>
      <c r="H110" s="473"/>
      <c r="I110" s="473"/>
      <c r="J110" s="473"/>
      <c r="K110" s="473"/>
      <c r="L110" s="413"/>
      <c r="M110" s="413"/>
      <c r="N110" s="413"/>
    </row>
    <row r="111" spans="1:14" ht="15">
      <c r="A111" s="473"/>
      <c r="B111" s="473"/>
      <c r="C111" s="473"/>
      <c r="D111" s="473"/>
      <c r="E111" s="473"/>
      <c r="F111" s="473"/>
      <c r="G111" s="473"/>
      <c r="H111" s="473"/>
      <c r="I111" s="473"/>
      <c r="J111" s="473"/>
      <c r="K111" s="473"/>
      <c r="L111" s="413"/>
      <c r="M111" s="413"/>
      <c r="N111" s="413"/>
    </row>
    <row r="112" spans="1:14" ht="15">
      <c r="A112" s="473"/>
      <c r="B112" s="473"/>
      <c r="C112" s="473"/>
      <c r="D112" s="473"/>
      <c r="E112" s="473"/>
      <c r="F112" s="473"/>
      <c r="G112" s="473"/>
      <c r="H112" s="473"/>
      <c r="I112" s="473"/>
      <c r="J112" s="473"/>
      <c r="K112" s="473"/>
      <c r="L112" s="413"/>
      <c r="M112" s="413"/>
      <c r="N112" s="413"/>
    </row>
    <row r="113" spans="1:14" ht="15">
      <c r="A113" s="473"/>
      <c r="B113" s="473"/>
      <c r="C113" s="473"/>
      <c r="D113" s="473"/>
      <c r="E113" s="473"/>
      <c r="F113" s="473"/>
      <c r="G113" s="473"/>
      <c r="H113" s="473"/>
      <c r="I113" s="473"/>
      <c r="J113" s="473"/>
      <c r="K113" s="473"/>
      <c r="L113" s="413"/>
      <c r="M113" s="413"/>
      <c r="N113" s="413"/>
    </row>
    <row r="114" spans="1:14" ht="15">
      <c r="A114" s="473"/>
      <c r="B114" s="473"/>
      <c r="C114" s="473"/>
      <c r="D114" s="473"/>
      <c r="E114" s="473"/>
      <c r="F114" s="473"/>
      <c r="G114" s="473"/>
      <c r="H114" s="473"/>
      <c r="I114" s="473"/>
      <c r="J114" s="473"/>
      <c r="K114" s="473"/>
      <c r="L114" s="413"/>
      <c r="M114" s="413"/>
      <c r="N114" s="413"/>
    </row>
    <row r="115" spans="1:14" ht="15">
      <c r="A115" s="473"/>
      <c r="B115" s="473"/>
      <c r="C115" s="473"/>
      <c r="D115" s="473"/>
      <c r="E115" s="473"/>
      <c r="F115" s="473"/>
      <c r="G115" s="473"/>
      <c r="H115" s="473"/>
      <c r="I115" s="473"/>
      <c r="J115" s="473"/>
      <c r="K115" s="473"/>
      <c r="L115" s="413"/>
      <c r="M115" s="413"/>
      <c r="N115" s="413"/>
    </row>
    <row r="116" spans="1:14" ht="15">
      <c r="A116" s="473"/>
      <c r="B116" s="473"/>
      <c r="C116" s="473"/>
      <c r="D116" s="473"/>
      <c r="E116" s="473"/>
      <c r="F116" s="473"/>
      <c r="G116" s="473"/>
      <c r="H116" s="473"/>
      <c r="I116" s="473"/>
      <c r="J116" s="473"/>
      <c r="K116" s="473"/>
      <c r="L116" s="413"/>
      <c r="M116" s="413"/>
      <c r="N116" s="413"/>
    </row>
    <row r="117" spans="1:14" ht="15">
      <c r="A117" s="473"/>
      <c r="B117" s="473"/>
      <c r="C117" s="473"/>
      <c r="D117" s="473"/>
      <c r="E117" s="473"/>
      <c r="F117" s="473"/>
      <c r="G117" s="473"/>
      <c r="H117" s="473"/>
      <c r="I117" s="473"/>
      <c r="J117" s="473"/>
      <c r="K117" s="473"/>
      <c r="L117" s="413"/>
      <c r="M117" s="413"/>
      <c r="N117" s="413"/>
    </row>
    <row r="118" spans="1:14" ht="15">
      <c r="A118" s="473"/>
      <c r="B118" s="473"/>
      <c r="C118" s="473"/>
      <c r="D118" s="473"/>
      <c r="E118" s="473"/>
      <c r="F118" s="473"/>
      <c r="G118" s="473"/>
      <c r="H118" s="473"/>
      <c r="I118" s="473"/>
      <c r="J118" s="473"/>
      <c r="K118" s="473"/>
      <c r="L118" s="413"/>
      <c r="M118" s="413"/>
      <c r="N118" s="413"/>
    </row>
    <row r="119" spans="1:14" ht="15">
      <c r="A119" s="473"/>
      <c r="B119" s="473"/>
      <c r="C119" s="473"/>
      <c r="D119" s="473"/>
      <c r="E119" s="473"/>
      <c r="F119" s="473"/>
      <c r="G119" s="473"/>
      <c r="H119" s="473"/>
      <c r="I119" s="473"/>
      <c r="J119" s="473"/>
      <c r="K119" s="473"/>
      <c r="L119" s="413"/>
      <c r="M119" s="413"/>
      <c r="N119" s="413"/>
    </row>
    <row r="120" spans="1:14" ht="15">
      <c r="A120" s="473"/>
      <c r="B120" s="473"/>
      <c r="C120" s="473"/>
      <c r="D120" s="473"/>
      <c r="E120" s="473"/>
      <c r="F120" s="473"/>
      <c r="G120" s="473"/>
      <c r="H120" s="473"/>
      <c r="I120" s="473"/>
      <c r="J120" s="473"/>
      <c r="K120" s="473"/>
      <c r="L120" s="413"/>
      <c r="M120" s="413"/>
      <c r="N120" s="413"/>
    </row>
    <row r="121" spans="1:14" ht="15">
      <c r="A121" s="473"/>
      <c r="B121" s="473"/>
      <c r="C121" s="473"/>
      <c r="D121" s="473"/>
      <c r="E121" s="473"/>
      <c r="F121" s="473"/>
      <c r="G121" s="473"/>
      <c r="H121" s="473"/>
      <c r="I121" s="473"/>
      <c r="J121" s="473"/>
      <c r="K121" s="473"/>
      <c r="L121" s="413"/>
      <c r="M121" s="413"/>
      <c r="N121" s="413"/>
    </row>
    <row r="122" spans="1:14" ht="15">
      <c r="A122" s="473"/>
      <c r="B122" s="473"/>
      <c r="C122" s="473"/>
      <c r="D122" s="473"/>
      <c r="E122" s="473"/>
      <c r="F122" s="473"/>
      <c r="G122" s="473"/>
      <c r="H122" s="473"/>
      <c r="I122" s="473"/>
      <c r="J122" s="473"/>
      <c r="K122" s="473"/>
      <c r="L122" s="413"/>
      <c r="M122" s="413"/>
      <c r="N122" s="413"/>
    </row>
    <row r="123" spans="1:14" ht="15">
      <c r="A123" s="473"/>
      <c r="B123" s="473"/>
      <c r="C123" s="473"/>
      <c r="D123" s="473"/>
      <c r="E123" s="473"/>
      <c r="F123" s="473"/>
      <c r="G123" s="473"/>
      <c r="H123" s="473"/>
      <c r="I123" s="473"/>
      <c r="J123" s="473"/>
      <c r="K123" s="473"/>
      <c r="L123" s="413"/>
      <c r="M123" s="413"/>
      <c r="N123" s="413"/>
    </row>
    <row r="124" spans="1:14" ht="15">
      <c r="A124" s="473"/>
      <c r="B124" s="473"/>
      <c r="C124" s="473"/>
      <c r="D124" s="473"/>
      <c r="E124" s="473"/>
      <c r="F124" s="473"/>
      <c r="G124" s="473"/>
      <c r="H124" s="473"/>
      <c r="I124" s="473"/>
      <c r="J124" s="473"/>
      <c r="K124" s="473"/>
      <c r="L124" s="413"/>
      <c r="M124" s="413"/>
      <c r="N124" s="413"/>
    </row>
    <row r="125" spans="1:14" ht="15">
      <c r="A125" s="473"/>
      <c r="B125" s="473"/>
      <c r="C125" s="473"/>
      <c r="D125" s="473"/>
      <c r="E125" s="473"/>
      <c r="F125" s="473"/>
      <c r="G125" s="473"/>
      <c r="H125" s="473"/>
      <c r="I125" s="473"/>
      <c r="J125" s="473"/>
      <c r="K125" s="473"/>
      <c r="L125" s="413"/>
      <c r="M125" s="413"/>
      <c r="N125" s="413"/>
    </row>
    <row r="126" spans="1:14" ht="15">
      <c r="A126" s="473"/>
      <c r="B126" s="473"/>
      <c r="C126" s="473"/>
      <c r="D126" s="473"/>
      <c r="E126" s="473"/>
      <c r="F126" s="473"/>
      <c r="G126" s="473"/>
      <c r="H126" s="473"/>
      <c r="I126" s="473"/>
      <c r="J126" s="473"/>
      <c r="K126" s="473"/>
      <c r="L126" s="413"/>
      <c r="M126" s="413"/>
      <c r="N126" s="413"/>
    </row>
    <row r="127" spans="1:14" ht="15" hidden="1">
      <c r="A127" s="473"/>
      <c r="B127" s="473"/>
      <c r="C127" s="473"/>
      <c r="D127" s="473"/>
      <c r="E127" s="473"/>
      <c r="F127" s="473"/>
      <c r="G127" s="473"/>
      <c r="H127" s="473"/>
      <c r="I127" s="473"/>
      <c r="J127" s="473"/>
      <c r="K127" s="473"/>
      <c r="L127" s="413"/>
      <c r="M127" s="413"/>
      <c r="N127" s="413"/>
    </row>
    <row r="128" spans="1:14" ht="15" hidden="1">
      <c r="A128" s="413"/>
      <c r="B128" s="413"/>
      <c r="C128" s="413"/>
      <c r="D128" s="413"/>
      <c r="E128" s="413"/>
      <c r="F128" s="413"/>
      <c r="G128" s="413"/>
      <c r="H128" s="413"/>
      <c r="I128" s="413"/>
      <c r="J128" s="413"/>
      <c r="K128" s="413"/>
      <c r="L128" s="413"/>
      <c r="M128" s="413"/>
      <c r="N128" s="413"/>
    </row>
    <row r="129" spans="1:14" ht="15" hidden="1">
      <c r="A129" s="413"/>
      <c r="B129" s="413"/>
      <c r="C129" s="413"/>
      <c r="D129" s="413"/>
      <c r="E129" s="413"/>
      <c r="F129" s="413"/>
      <c r="G129" s="413"/>
      <c r="H129" s="413"/>
      <c r="I129" s="413"/>
      <c r="J129" s="413"/>
      <c r="K129" s="413"/>
      <c r="L129" s="413"/>
      <c r="M129" s="413"/>
      <c r="N129" s="413"/>
    </row>
    <row r="130" spans="1:14" ht="15" hidden="1">
      <c r="A130" s="413"/>
      <c r="B130" s="413"/>
      <c r="C130" s="413"/>
      <c r="D130" s="413"/>
      <c r="E130" s="413"/>
      <c r="F130" s="413"/>
      <c r="G130" s="413"/>
      <c r="H130" s="413"/>
      <c r="I130" s="413"/>
      <c r="J130" s="413"/>
      <c r="K130" s="413"/>
      <c r="L130" s="413"/>
      <c r="M130" s="413"/>
      <c r="N130" s="413"/>
    </row>
    <row r="131" spans="1:14" ht="15" hidden="1">
      <c r="A131" s="413"/>
      <c r="B131" s="413"/>
      <c r="C131" s="413"/>
      <c r="D131" s="413"/>
      <c r="E131" s="413"/>
      <c r="F131" s="413"/>
      <c r="G131" s="413"/>
      <c r="H131" s="413"/>
      <c r="I131" s="413"/>
      <c r="J131" s="413"/>
      <c r="K131" s="413"/>
      <c r="L131" s="413"/>
      <c r="M131" s="413"/>
      <c r="N131" s="413"/>
    </row>
    <row r="132" spans="1:14" ht="15" hidden="1">
      <c r="A132" s="413"/>
      <c r="B132" s="413"/>
      <c r="C132" s="413"/>
      <c r="D132" s="413"/>
      <c r="E132" s="413"/>
      <c r="F132" s="413"/>
      <c r="G132" s="413"/>
      <c r="H132" s="413"/>
      <c r="I132" s="413"/>
      <c r="J132" s="413"/>
      <c r="K132" s="413"/>
      <c r="L132" s="413"/>
      <c r="M132" s="413"/>
      <c r="N132" s="413"/>
    </row>
    <row r="133" spans="1:14" ht="15" hidden="1">
      <c r="A133" s="413"/>
      <c r="B133" s="413"/>
      <c r="C133" s="413"/>
      <c r="D133" s="413"/>
      <c r="E133" s="413"/>
      <c r="F133" s="413"/>
      <c r="G133" s="413"/>
      <c r="H133" s="413"/>
      <c r="I133" s="413"/>
      <c r="J133" s="413"/>
      <c r="K133" s="413"/>
      <c r="L133" s="413"/>
      <c r="M133" s="413"/>
      <c r="N133" s="413"/>
    </row>
    <row r="134" spans="1:14" ht="15" hidden="1">
      <c r="A134" s="413"/>
      <c r="B134" s="413"/>
      <c r="C134" s="413"/>
      <c r="D134" s="413"/>
      <c r="E134" s="413"/>
      <c r="F134" s="413"/>
      <c r="G134" s="413"/>
      <c r="H134" s="413"/>
      <c r="I134" s="413"/>
      <c r="J134" s="413"/>
      <c r="K134" s="413"/>
      <c r="L134" s="413"/>
      <c r="M134" s="413"/>
      <c r="N134" s="413"/>
    </row>
    <row r="135" spans="1:14" ht="15" hidden="1">
      <c r="A135" s="413"/>
      <c r="B135" s="413"/>
      <c r="C135" s="413"/>
      <c r="D135" s="413"/>
      <c r="E135" s="413"/>
      <c r="F135" s="413"/>
      <c r="G135" s="413"/>
      <c r="H135" s="413"/>
      <c r="I135" s="413"/>
      <c r="J135" s="413"/>
      <c r="K135" s="413"/>
      <c r="L135" s="413"/>
      <c r="M135" s="413"/>
      <c r="N135" s="413"/>
    </row>
    <row r="136" ht="14.25" customHeight="1" hidden="1"/>
    <row r="137" ht="14.25" hidden="1">
      <c r="F137" s="474"/>
    </row>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14.25" customHeight="1" hidden="1"/>
    <row r="160" ht="14.25" customHeight="1" hidden="1"/>
    <row r="161" ht="14.25" customHeight="1" hidden="1"/>
    <row r="162" ht="14.25" customHeight="1" hidden="1"/>
    <row r="163" ht="14.25" customHeight="1" hidden="1"/>
    <row r="164" ht="14.25" customHeight="1" hidden="1"/>
    <row r="165" ht="14.25" customHeight="1" hidden="1"/>
    <row r="166" ht="14.25" customHeight="1" hidden="1"/>
    <row r="167" ht="14.25" customHeight="1" hidden="1"/>
    <row r="168" ht="14.25" customHeight="1" hidden="1"/>
    <row r="169" ht="14.25" customHeight="1" hidden="1"/>
    <row r="170" ht="14.25" customHeight="1" hidden="1"/>
    <row r="171" ht="14.25" customHeight="1" hidden="1"/>
    <row r="172" ht="14.25" customHeight="1" hidden="1"/>
    <row r="173" ht="14.25" customHeight="1" hidden="1"/>
    <row r="174" ht="14.25" customHeight="1" hidden="1"/>
    <row r="175" ht="14.25" customHeight="1" hidden="1"/>
    <row r="176" ht="14.25" customHeight="1" hidden="1"/>
    <row r="177" ht="14.25" customHeight="1" hidden="1"/>
    <row r="178" ht="14.25" customHeight="1" hidden="1"/>
    <row r="179" ht="14.25" customHeight="1" hidden="1"/>
    <row r="180" ht="14.25" customHeight="1" hidden="1"/>
    <row r="181" ht="14.25" customHeight="1" hidden="1"/>
    <row r="182" ht="14.25" customHeight="1" hidden="1"/>
    <row r="183" ht="14.25" customHeight="1" hidden="1"/>
    <row r="184" ht="14.25" customHeight="1" hidden="1"/>
    <row r="185" ht="14.25" customHeight="1" hidden="1"/>
    <row r="186" ht="14.25" customHeight="1" hidden="1"/>
    <row r="187" ht="14.25" customHeight="1" hidden="1"/>
    <row r="188" ht="14.25" customHeight="1" hidden="1"/>
    <row r="189" ht="14.25" customHeight="1" hidden="1"/>
    <row r="190" ht="14.25" customHeight="1" hidden="1"/>
    <row r="191" ht="14.25" customHeight="1" hidden="1"/>
    <row r="192" ht="14.25" customHeight="1" hidden="1"/>
    <row r="193" ht="14.25" customHeight="1" hidden="1"/>
    <row r="194" ht="14.25" customHeight="1" hidden="1"/>
    <row r="195" ht="14.25" customHeight="1" hidden="1"/>
    <row r="196" ht="14.25" customHeight="1" hidden="1"/>
    <row r="197" ht="14.25" customHeight="1" hidden="1"/>
    <row r="198" ht="14.25" customHeight="1" hidden="1"/>
    <row r="199" ht="14.25" customHeight="1" hidden="1"/>
    <row r="200" ht="14.25" customHeight="1" hidden="1"/>
    <row r="201" ht="14.25" customHeight="1" hidden="1"/>
    <row r="202" ht="14.25" customHeight="1" hidden="1"/>
    <row r="203" ht="14.25" customHeight="1" hidden="1"/>
    <row r="204" ht="14.25" customHeight="1" hidden="1"/>
    <row r="205" ht="14.25" customHeight="1" hidden="1"/>
    <row r="206" ht="14.25" customHeight="1" hidden="1"/>
    <row r="207" ht="14.25" customHeight="1" hidden="1"/>
    <row r="208" ht="14.25" customHeight="1" hidden="1"/>
    <row r="209" ht="14.25" customHeight="1" hidden="1"/>
    <row r="210" ht="14.25" customHeight="1" hidden="1"/>
    <row r="211" ht="14.25" customHeight="1" hidden="1"/>
    <row r="212" ht="14.25" customHeight="1" hidden="1"/>
    <row r="213" ht="14.25" customHeight="1" hidden="1"/>
    <row r="214" ht="14.25" customHeight="1" hidden="1"/>
    <row r="215" ht="14.25" customHeight="1" hidden="1"/>
    <row r="216" ht="14.25" customHeight="1" hidden="1"/>
    <row r="217" ht="14.25" customHeight="1" hidden="1"/>
    <row r="218" ht="14.25" customHeight="1" hidden="1"/>
    <row r="219" ht="14.25" customHeight="1" hidden="1"/>
    <row r="220" ht="14.25" customHeight="1" hidden="1"/>
    <row r="221" ht="14.25" customHeight="1" hidden="1"/>
    <row r="222" ht="14.25" customHeight="1" hidden="1"/>
    <row r="223" ht="18" customHeight="1" hidden="1"/>
    <row r="224" ht="14.25" customHeight="1" hidden="1"/>
    <row r="225" ht="14.25" customHeight="1" hidden="1"/>
    <row r="226" ht="14.25" customHeight="1" hidden="1"/>
    <row r="227" ht="14.25" customHeight="1" hidden="1"/>
    <row r="228" ht="14.25" customHeight="1" hidden="1"/>
    <row r="229" ht="14.25" customHeight="1" hidden="1"/>
    <row r="230" ht="14.25" customHeight="1" hidden="1"/>
    <row r="231" ht="14.25" customHeight="1" hidden="1"/>
    <row r="232" ht="14.25" customHeight="1" hidden="1"/>
    <row r="233" ht="14.25" customHeight="1" hidden="1"/>
    <row r="234" ht="14.25" customHeight="1" hidden="1"/>
    <row r="235" ht="14.25" customHeight="1" hidden="1"/>
    <row r="236" ht="14.25" customHeight="1" hidden="1"/>
    <row r="237" ht="14.25" customHeight="1" hidden="1"/>
    <row r="238" ht="14.25" customHeight="1" hidden="1"/>
    <row r="239" ht="14.25" customHeight="1" hidden="1"/>
    <row r="240" ht="14.25" customHeight="1" hidden="1"/>
    <row r="241" ht="14.25" customHeight="1" hidden="1"/>
    <row r="242" ht="14.25" customHeight="1" hidden="1"/>
    <row r="243" ht="14.25" customHeight="1" hidden="1"/>
    <row r="244" ht="0" customHeight="1" hidden="1"/>
    <row r="245" ht="0" customHeight="1" hidden="1"/>
  </sheetData>
  <sheetProtection password="83AF" sheet="1" objects="1" scenarios="1" selectLockedCells="1" selectUnlockedCells="1"/>
  <mergeCells count="63">
    <mergeCell ref="C1:F1"/>
    <mergeCell ref="C12:L12"/>
    <mergeCell ref="C13:L13"/>
    <mergeCell ref="C14:L14"/>
    <mergeCell ref="C15:L15"/>
    <mergeCell ref="C16:L16"/>
    <mergeCell ref="C17:L17"/>
    <mergeCell ref="C18:L18"/>
    <mergeCell ref="C19:L19"/>
    <mergeCell ref="C20:L20"/>
    <mergeCell ref="B23:F23"/>
    <mergeCell ref="G23:L23"/>
    <mergeCell ref="B27:F27"/>
    <mergeCell ref="G27:L27"/>
    <mergeCell ref="B24:F24"/>
    <mergeCell ref="G24:L24"/>
    <mergeCell ref="B25:F25"/>
    <mergeCell ref="G25:L25"/>
    <mergeCell ref="B26:F26"/>
    <mergeCell ref="G26:L26"/>
    <mergeCell ref="B29:F29"/>
    <mergeCell ref="G29:L29"/>
    <mergeCell ref="A33:C33"/>
    <mergeCell ref="D33:E33"/>
    <mergeCell ref="I33:J33"/>
    <mergeCell ref="A34:C34"/>
    <mergeCell ref="A35:C35"/>
    <mergeCell ref="A37:C37"/>
    <mergeCell ref="D37:F37"/>
    <mergeCell ref="G37:H37"/>
    <mergeCell ref="A38:C38"/>
    <mergeCell ref="D38:E38"/>
    <mergeCell ref="I38:J38"/>
    <mergeCell ref="A40:C40"/>
    <mergeCell ref="A44:C44"/>
    <mergeCell ref="D44:F44"/>
    <mergeCell ref="G44:H44"/>
    <mergeCell ref="I44:J44"/>
    <mergeCell ref="K44:L44"/>
    <mergeCell ref="A45:C45"/>
    <mergeCell ref="K60:L60"/>
    <mergeCell ref="A61:C61"/>
    <mergeCell ref="D61:F61"/>
    <mergeCell ref="A63:C63"/>
    <mergeCell ref="A91:B91"/>
    <mergeCell ref="A92:B92"/>
    <mergeCell ref="A93:B93"/>
    <mergeCell ref="A79:C79"/>
    <mergeCell ref="A84:B84"/>
    <mergeCell ref="A85:B85"/>
    <mergeCell ref="A86:B86"/>
    <mergeCell ref="A87:B87"/>
    <mergeCell ref="A88:B88"/>
    <mergeCell ref="A95:B95"/>
    <mergeCell ref="A94:B94"/>
    <mergeCell ref="B28:F28"/>
    <mergeCell ref="G28:L28"/>
    <mergeCell ref="B30:F30"/>
    <mergeCell ref="G30:L30"/>
    <mergeCell ref="A80:C80"/>
    <mergeCell ref="A81:C81"/>
    <mergeCell ref="A89:B89"/>
    <mergeCell ref="A90:B90"/>
  </mergeCells>
  <printOptions horizontalCentered="1"/>
  <pageMargins left="0.5" right="0.5" top="1.25" bottom="0.75" header="0.75" footer="0.5"/>
  <pageSetup fitToHeight="10" horizontalDpi="300" verticalDpi="300" orientation="landscape" scale="80" r:id="rId9"/>
  <headerFooter alignWithMargins="0">
    <oddHeader>&amp;L&amp;"Trebuchet MS,Regular"Calibration of LPG Provers&amp;R&amp;"Trebuchet MS,Regular"WAMRF-014, Rev. 29, 10/22/2014</oddHeader>
    <oddFooter>&amp;L&amp;"Trebuchet MS,Regular"&amp;F&amp;R&amp;"Trebuchet MS,Regular"&amp;A Worksheet Page &amp;P of &amp;N</oddFooter>
  </headerFooter>
  <rowBreaks count="5" manualBreakCount="5">
    <brk id="21" max="255" man="1"/>
    <brk id="31" max="255" man="1"/>
    <brk id="62" max="255" man="1"/>
    <brk id="82" max="255" man="1"/>
    <brk id="106" max="255" man="1"/>
  </rowBreaks>
  <drawing r:id="rId8"/>
  <legacyDrawing r:id="rId7"/>
  <oleObjects>
    <oleObject progId="Equation.3" shapeId="1112087" r:id="rId1"/>
    <oleObject progId="Equation.3" shapeId="1112088" r:id="rId2"/>
    <oleObject progId="Equation.3" shapeId="1112089" r:id="rId3"/>
    <oleObject progId="Equation.3" shapeId="1112090" r:id="rId4"/>
    <oleObject progId="Equation.3" shapeId="1112091" r:id="rId5"/>
    <oleObject progId="Equation.3" shapeId="1112092" r:id="rId6"/>
  </oleObjects>
</worksheet>
</file>

<file path=xl/worksheets/sheet14.xml><?xml version="1.0" encoding="utf-8"?>
<worksheet xmlns="http://schemas.openxmlformats.org/spreadsheetml/2006/main" xmlns:r="http://schemas.openxmlformats.org/officeDocument/2006/relationships">
  <sheetPr>
    <tabColor indexed="10"/>
    <pageSetUpPr fitToPage="1"/>
  </sheetPr>
  <dimension ref="A1:D24"/>
  <sheetViews>
    <sheetView showGridLines="0" zoomScale="75" zoomScaleNormal="75" zoomScalePageLayoutView="0" workbookViewId="0" topLeftCell="A1">
      <selection activeCell="A1" sqref="A1"/>
    </sheetView>
  </sheetViews>
  <sheetFormatPr defaultColWidth="0" defaultRowHeight="15.75" zeroHeight="1"/>
  <cols>
    <col min="1" max="1" width="30.6640625" style="19" customWidth="1"/>
    <col min="2" max="2" width="14.6640625" style="19" customWidth="1"/>
    <col min="3" max="3" width="1.77734375" style="19" customWidth="1"/>
    <col min="4" max="4" width="51.3359375" style="19" customWidth="1"/>
    <col min="5" max="5" width="3.77734375" style="19" customWidth="1"/>
    <col min="6" max="16384" width="0" style="19" hidden="1" customWidth="1"/>
  </cols>
  <sheetData>
    <row r="1" spans="1:4" ht="19.5" thickBot="1">
      <c r="A1" s="64" t="s">
        <v>84</v>
      </c>
      <c r="B1" s="65"/>
      <c r="C1" s="65"/>
      <c r="D1" s="66">
        <f>IF(RptNo="","","Report Number: "&amp;RptNo)</f>
      </c>
    </row>
    <row r="2" ht="12" customHeight="1"/>
    <row r="3" spans="1:4" ht="90" customHeight="1">
      <c r="A3" s="856" t="s">
        <v>515</v>
      </c>
      <c r="B3" s="856"/>
      <c r="C3" s="27"/>
      <c r="D3" s="241" t="s">
        <v>46</v>
      </c>
    </row>
    <row r="4" spans="1:4" ht="18">
      <c r="A4" s="237" t="s">
        <v>9</v>
      </c>
      <c r="B4" s="238" t="s">
        <v>131</v>
      </c>
      <c r="C4" s="27"/>
      <c r="D4" s="242" t="s">
        <v>117</v>
      </c>
    </row>
    <row r="5" spans="1:4" ht="15">
      <c r="A5" s="239" t="s">
        <v>33</v>
      </c>
      <c r="B5" s="240">
        <v>1.6E-05</v>
      </c>
      <c r="C5" s="28"/>
      <c r="D5" s="242" t="s">
        <v>47</v>
      </c>
    </row>
    <row r="6" spans="1:4" ht="15">
      <c r="A6" s="239" t="s">
        <v>34</v>
      </c>
      <c r="B6" s="240">
        <v>1.86E-05</v>
      </c>
      <c r="C6" s="27"/>
      <c r="D6" s="242" t="s">
        <v>140</v>
      </c>
    </row>
    <row r="7" spans="1:4" ht="15">
      <c r="A7" s="239" t="s">
        <v>32</v>
      </c>
      <c r="B7" s="240">
        <v>2.65E-05</v>
      </c>
      <c r="C7" s="27"/>
      <c r="D7" s="242" t="s">
        <v>141</v>
      </c>
    </row>
    <row r="8" spans="1:4" ht="15">
      <c r="A8" s="27"/>
      <c r="B8" s="27"/>
      <c r="C8" s="27"/>
      <c r="D8" s="242"/>
    </row>
    <row r="9" spans="1:4" ht="15">
      <c r="A9" s="27"/>
      <c r="B9" s="27"/>
      <c r="C9" s="27"/>
      <c r="D9" s="242" t="s">
        <v>142</v>
      </c>
    </row>
    <row r="10" spans="1:4" ht="15">
      <c r="A10" s="27"/>
      <c r="B10" s="27"/>
      <c r="C10" s="27"/>
      <c r="D10" s="242" t="s">
        <v>90</v>
      </c>
    </row>
    <row r="11" spans="1:4" ht="15">
      <c r="A11" s="27"/>
      <c r="B11" s="27"/>
      <c r="C11" s="27"/>
      <c r="D11" s="242" t="s">
        <v>143</v>
      </c>
    </row>
    <row r="12" spans="1:4" ht="15">
      <c r="A12" s="27"/>
      <c r="B12" s="27"/>
      <c r="C12" s="27"/>
      <c r="D12" s="242" t="s">
        <v>144</v>
      </c>
    </row>
    <row r="13" spans="1:4" ht="15">
      <c r="A13" s="27"/>
      <c r="B13" s="27"/>
      <c r="C13" s="27"/>
      <c r="D13" s="242"/>
    </row>
    <row r="14" spans="1:4" ht="15">
      <c r="A14" s="27"/>
      <c r="B14" s="27"/>
      <c r="C14" s="27"/>
      <c r="D14" s="242" t="s">
        <v>14</v>
      </c>
    </row>
    <row r="15" spans="1:4" ht="15">
      <c r="A15" s="27"/>
      <c r="B15" s="27"/>
      <c r="C15" s="27"/>
      <c r="D15" s="242" t="s">
        <v>15</v>
      </c>
    </row>
    <row r="16" spans="1:4" ht="15">
      <c r="A16" s="27"/>
      <c r="B16" s="27"/>
      <c r="C16" s="27"/>
      <c r="D16" s="242"/>
    </row>
    <row r="17" spans="1:4" ht="15">
      <c r="A17" s="27"/>
      <c r="B17" s="27"/>
      <c r="C17" s="27"/>
      <c r="D17" s="242" t="s">
        <v>145</v>
      </c>
    </row>
    <row r="18" spans="1:4" ht="15">
      <c r="A18" s="27"/>
      <c r="B18" s="27"/>
      <c r="C18" s="27"/>
      <c r="D18" s="242" t="s">
        <v>146</v>
      </c>
    </row>
    <row r="19" spans="1:4" ht="15">
      <c r="A19" s="27"/>
      <c r="B19" s="27"/>
      <c r="C19" s="27"/>
      <c r="D19" s="242"/>
    </row>
    <row r="20" spans="1:4" ht="15">
      <c r="A20" s="27"/>
      <c r="B20" s="27"/>
      <c r="C20" s="27"/>
      <c r="D20" s="242" t="s">
        <v>169</v>
      </c>
    </row>
    <row r="21" spans="1:4" ht="15">
      <c r="A21" s="27"/>
      <c r="B21" s="27"/>
      <c r="C21" s="27"/>
      <c r="D21" s="242" t="s">
        <v>171</v>
      </c>
    </row>
    <row r="22" ht="15.75">
      <c r="D22"/>
    </row>
    <row r="23" ht="15.75">
      <c r="D23"/>
    </row>
    <row r="24" ht="15.75">
      <c r="D24"/>
    </row>
    <row r="25" ht="12.75"/>
    <row r="26" ht="12.75"/>
    <row r="27" ht="12.75"/>
    <row r="28" ht="12.75"/>
    <row r="29" ht="12.75"/>
    <row r="30" ht="12.75"/>
    <row r="31" ht="12.75"/>
    <row r="32" ht="12.75"/>
    <row r="33" ht="12.75"/>
    <row r="34" ht="12.75" hidden="1"/>
    <row r="35" ht="12.75" hidden="1"/>
  </sheetData>
  <sheetProtection password="83AF" sheet="1" objects="1" scenarios="1" selectLockedCells="1" selectUnlockedCells="1"/>
  <mergeCells count="1">
    <mergeCell ref="A3:B3"/>
  </mergeCells>
  <conditionalFormatting sqref="C5">
    <cfRule type="expression" priority="1" dxfId="40" stopIfTrue="1">
      <formula>#REF!</formula>
    </cfRule>
  </conditionalFormatting>
  <printOptions horizontalCentered="1"/>
  <pageMargins left="0.5" right="0.5" top="1.25" bottom="0.75" header="0.5" footer="0.5"/>
  <pageSetup fitToHeight="1" fitToWidth="1" horizontalDpi="600" verticalDpi="600" orientation="landscape" r:id="rId1"/>
  <headerFooter alignWithMargins="0">
    <oddHeader>&amp;L&amp;"Trebuchet MS,Regular"Calibration of LPG Provers&amp;R&amp;"Trebuchet MS,Regular"WAMRF-014, Rev. 29, 10/22/2014</oddHeader>
    <oddFooter>&amp;L&amp;"Trebuchet MS,Regular"&amp;F&amp;R&amp;"Trebuchet MS,Regular"&amp;A Worksheet Page &amp;P of &amp;N</oddFooter>
  </headerFooter>
</worksheet>
</file>

<file path=xl/worksheets/sheet2.xml><?xml version="1.0" encoding="utf-8"?>
<worksheet xmlns="http://schemas.openxmlformats.org/spreadsheetml/2006/main" xmlns:r="http://schemas.openxmlformats.org/officeDocument/2006/relationships">
  <sheetPr>
    <tabColor theme="6" tint="-0.24997000396251678"/>
  </sheetPr>
  <dimension ref="A1:H224"/>
  <sheetViews>
    <sheetView showGridLines="0" showZeros="0" showOutlineSymbols="0" zoomScalePageLayoutView="0" workbookViewId="0" topLeftCell="A1">
      <pane ySplit="2" topLeftCell="A63" activePane="bottomLeft" state="frozen"/>
      <selection pane="topLeft" activeCell="B32" sqref="B32"/>
      <selection pane="bottomLeft" activeCell="A72" sqref="A72"/>
    </sheetView>
  </sheetViews>
  <sheetFormatPr defaultColWidth="0" defaultRowHeight="15.75"/>
  <cols>
    <col min="1" max="1" width="13.3359375" style="214" customWidth="1"/>
    <col min="2" max="2" width="52.88671875" style="190" customWidth="1"/>
    <col min="3" max="3" width="10.6640625" style="190" customWidth="1"/>
    <col min="4" max="4" width="3.77734375" style="190" customWidth="1"/>
    <col min="5" max="8" width="9.77734375" style="190" hidden="1" customWidth="1"/>
    <col min="9" max="9" width="9.21484375" style="190" hidden="1" customWidth="1"/>
    <col min="10" max="16384" width="8.88671875" style="190" hidden="1" customWidth="1"/>
  </cols>
  <sheetData>
    <row r="1" spans="1:7" s="214" customFormat="1" ht="20.25" thickBot="1">
      <c r="A1" s="217" t="s">
        <v>71</v>
      </c>
      <c r="B1" s="218"/>
      <c r="C1" s="213"/>
      <c r="D1" s="219"/>
      <c r="E1" s="219"/>
      <c r="F1" s="219"/>
      <c r="G1" s="219"/>
    </row>
    <row r="2" spans="1:8" s="214" customFormat="1" ht="18">
      <c r="A2" s="222" t="s">
        <v>212</v>
      </c>
      <c r="B2" s="222" t="s">
        <v>8</v>
      </c>
      <c r="C2" s="222" t="s">
        <v>225</v>
      </c>
      <c r="D2" s="219"/>
      <c r="E2" s="219"/>
      <c r="F2" s="219"/>
      <c r="G2" s="219"/>
      <c r="H2" s="215"/>
    </row>
    <row r="3" spans="1:8" s="214" customFormat="1" ht="90">
      <c r="A3" s="220">
        <v>38016</v>
      </c>
      <c r="B3" s="246" t="s">
        <v>316</v>
      </c>
      <c r="C3" s="222" t="s">
        <v>226</v>
      </c>
      <c r="D3" s="219"/>
      <c r="E3" s="219"/>
      <c r="F3" s="219"/>
      <c r="G3" s="219"/>
      <c r="H3" s="215"/>
    </row>
    <row r="4" spans="1:8" s="214" customFormat="1" ht="36">
      <c r="A4" s="220">
        <v>38049</v>
      </c>
      <c r="B4" s="221" t="s">
        <v>229</v>
      </c>
      <c r="C4" s="222" t="s">
        <v>226</v>
      </c>
      <c r="D4" s="219"/>
      <c r="E4" s="219"/>
      <c r="F4" s="219"/>
      <c r="G4" s="219"/>
      <c r="H4" s="215"/>
    </row>
    <row r="5" spans="1:8" s="214" customFormat="1" ht="36">
      <c r="A5" s="220">
        <v>38051</v>
      </c>
      <c r="B5" s="221" t="s">
        <v>230</v>
      </c>
      <c r="C5" s="222" t="s">
        <v>226</v>
      </c>
      <c r="D5" s="219"/>
      <c r="E5" s="219"/>
      <c r="F5" s="219"/>
      <c r="G5" s="219"/>
      <c r="H5" s="215"/>
    </row>
    <row r="6" spans="1:8" s="214" customFormat="1" ht="36">
      <c r="A6" s="220">
        <v>38057</v>
      </c>
      <c r="B6" s="221" t="s">
        <v>231</v>
      </c>
      <c r="C6" s="222" t="s">
        <v>226</v>
      </c>
      <c r="D6" s="219"/>
      <c r="E6" s="219"/>
      <c r="F6" s="219"/>
      <c r="G6" s="219"/>
      <c r="H6" s="215"/>
    </row>
    <row r="7" spans="1:8" s="214" customFormat="1" ht="18">
      <c r="A7" s="220">
        <v>38174</v>
      </c>
      <c r="B7" s="221" t="s">
        <v>227</v>
      </c>
      <c r="C7" s="222" t="s">
        <v>226</v>
      </c>
      <c r="D7" s="219"/>
      <c r="E7" s="219"/>
      <c r="F7" s="219"/>
      <c r="G7" s="219"/>
      <c r="H7" s="215"/>
    </row>
    <row r="8" spans="1:8" s="214" customFormat="1" ht="18">
      <c r="A8" s="220">
        <v>38240</v>
      </c>
      <c r="B8" s="221" t="s">
        <v>232</v>
      </c>
      <c r="C8" s="222" t="s">
        <v>226</v>
      </c>
      <c r="D8" s="219"/>
      <c r="E8" s="219"/>
      <c r="F8" s="219"/>
      <c r="G8" s="219"/>
      <c r="H8" s="215"/>
    </row>
    <row r="9" spans="1:8" s="214" customFormat="1" ht="18">
      <c r="A9" s="220">
        <v>38433</v>
      </c>
      <c r="B9" s="221" t="s">
        <v>469</v>
      </c>
      <c r="C9" s="222" t="s">
        <v>226</v>
      </c>
      <c r="D9" s="219"/>
      <c r="E9" s="219"/>
      <c r="F9" s="219"/>
      <c r="G9" s="219"/>
      <c r="H9" s="215"/>
    </row>
    <row r="10" spans="1:8" s="214" customFormat="1" ht="36">
      <c r="A10" s="220">
        <v>38641</v>
      </c>
      <c r="B10" s="221" t="s">
        <v>233</v>
      </c>
      <c r="C10" s="222" t="s">
        <v>226</v>
      </c>
      <c r="D10" s="219"/>
      <c r="E10" s="219"/>
      <c r="F10" s="219"/>
      <c r="G10" s="219"/>
      <c r="H10" s="215"/>
    </row>
    <row r="11" spans="1:8" s="214" customFormat="1" ht="18">
      <c r="A11" s="220">
        <v>38961</v>
      </c>
      <c r="B11" s="221" t="s">
        <v>234</v>
      </c>
      <c r="C11" s="222" t="s">
        <v>226</v>
      </c>
      <c r="D11" s="219"/>
      <c r="E11" s="219"/>
      <c r="F11" s="219"/>
      <c r="G11" s="219"/>
      <c r="H11" s="215"/>
    </row>
    <row r="12" spans="1:8" s="214" customFormat="1" ht="36">
      <c r="A12" s="220">
        <v>39035</v>
      </c>
      <c r="B12" s="221" t="s">
        <v>235</v>
      </c>
      <c r="C12" s="222" t="s">
        <v>226</v>
      </c>
      <c r="D12" s="219"/>
      <c r="E12" s="219"/>
      <c r="F12" s="219"/>
      <c r="G12" s="219"/>
      <c r="H12" s="215"/>
    </row>
    <row r="13" spans="1:8" s="214" customFormat="1" ht="36">
      <c r="A13" s="220">
        <v>39035</v>
      </c>
      <c r="B13" s="221" t="s">
        <v>236</v>
      </c>
      <c r="C13" s="222" t="s">
        <v>226</v>
      </c>
      <c r="D13" s="219"/>
      <c r="E13" s="219"/>
      <c r="F13" s="219"/>
      <c r="G13" s="219"/>
      <c r="H13" s="215"/>
    </row>
    <row r="14" spans="1:8" s="214" customFormat="1" ht="18">
      <c r="A14" s="220">
        <v>39035</v>
      </c>
      <c r="B14" s="221" t="s">
        <v>237</v>
      </c>
      <c r="C14" s="222" t="s">
        <v>226</v>
      </c>
      <c r="D14" s="219"/>
      <c r="E14" s="219"/>
      <c r="F14" s="219"/>
      <c r="G14" s="219"/>
      <c r="H14" s="215"/>
    </row>
    <row r="15" spans="1:8" s="214" customFormat="1" ht="36">
      <c r="A15" s="220">
        <v>39157</v>
      </c>
      <c r="B15" s="221" t="s">
        <v>228</v>
      </c>
      <c r="C15" s="222" t="s">
        <v>226</v>
      </c>
      <c r="D15" s="219"/>
      <c r="E15" s="219"/>
      <c r="F15" s="219"/>
      <c r="G15" s="219"/>
      <c r="H15" s="215"/>
    </row>
    <row r="16" spans="1:8" s="214" customFormat="1" ht="36">
      <c r="A16" s="220">
        <v>39171</v>
      </c>
      <c r="B16" s="221" t="s">
        <v>238</v>
      </c>
      <c r="C16" s="222" t="s">
        <v>226</v>
      </c>
      <c r="D16" s="219"/>
      <c r="E16" s="219"/>
      <c r="F16" s="219"/>
      <c r="G16" s="219"/>
      <c r="H16" s="215"/>
    </row>
    <row r="17" spans="1:8" s="214" customFormat="1" ht="36">
      <c r="A17" s="220">
        <v>39177</v>
      </c>
      <c r="B17" s="221" t="s">
        <v>470</v>
      </c>
      <c r="C17" s="222" t="s">
        <v>226</v>
      </c>
      <c r="D17" s="219"/>
      <c r="E17" s="219"/>
      <c r="F17" s="219"/>
      <c r="G17" s="219"/>
      <c r="H17" s="215"/>
    </row>
    <row r="18" spans="1:8" s="214" customFormat="1" ht="36">
      <c r="A18" s="220">
        <v>39349</v>
      </c>
      <c r="B18" s="221" t="s">
        <v>239</v>
      </c>
      <c r="C18" s="222" t="s">
        <v>226</v>
      </c>
      <c r="D18" s="219"/>
      <c r="E18" s="219"/>
      <c r="F18" s="219"/>
      <c r="G18" s="219"/>
      <c r="H18" s="215"/>
    </row>
    <row r="19" spans="1:8" s="214" customFormat="1" ht="18">
      <c r="A19" s="220">
        <v>39457</v>
      </c>
      <c r="B19" s="221" t="s">
        <v>240</v>
      </c>
      <c r="C19" s="222" t="s">
        <v>226</v>
      </c>
      <c r="D19" s="219"/>
      <c r="E19" s="219"/>
      <c r="F19" s="219"/>
      <c r="G19" s="219"/>
      <c r="H19" s="215"/>
    </row>
    <row r="20" spans="1:8" s="214" customFormat="1" ht="18">
      <c r="A20" s="220">
        <v>39485</v>
      </c>
      <c r="B20" s="221" t="s">
        <v>241</v>
      </c>
      <c r="C20" s="222" t="s">
        <v>226</v>
      </c>
      <c r="D20" s="219"/>
      <c r="E20" s="219"/>
      <c r="F20" s="219"/>
      <c r="G20" s="219"/>
      <c r="H20" s="215"/>
    </row>
    <row r="21" spans="1:8" s="214" customFormat="1" ht="54">
      <c r="A21" s="220">
        <v>39609</v>
      </c>
      <c r="B21" s="221" t="s">
        <v>471</v>
      </c>
      <c r="C21" s="222" t="s">
        <v>226</v>
      </c>
      <c r="D21" s="219"/>
      <c r="E21" s="219"/>
      <c r="F21" s="219"/>
      <c r="G21" s="219"/>
      <c r="H21" s="215"/>
    </row>
    <row r="22" spans="1:8" s="214" customFormat="1" ht="18">
      <c r="A22" s="220">
        <v>39834</v>
      </c>
      <c r="B22" s="221" t="s">
        <v>242</v>
      </c>
      <c r="C22" s="222" t="s">
        <v>226</v>
      </c>
      <c r="D22" s="219"/>
      <c r="E22" s="219"/>
      <c r="F22" s="219"/>
      <c r="G22" s="219"/>
      <c r="H22" s="215"/>
    </row>
    <row r="23" spans="1:8" s="214" customFormat="1" ht="18">
      <c r="A23" s="220">
        <v>39834</v>
      </c>
      <c r="B23" s="221" t="s">
        <v>243</v>
      </c>
      <c r="C23" s="222" t="s">
        <v>226</v>
      </c>
      <c r="D23" s="219"/>
      <c r="E23" s="219"/>
      <c r="F23" s="219"/>
      <c r="G23" s="219"/>
      <c r="H23" s="215"/>
    </row>
    <row r="24" spans="1:8" s="214" customFormat="1" ht="18">
      <c r="A24" s="220">
        <v>40116</v>
      </c>
      <c r="B24" s="221" t="s">
        <v>252</v>
      </c>
      <c r="C24" s="222" t="s">
        <v>226</v>
      </c>
      <c r="D24" s="219"/>
      <c r="E24" s="219"/>
      <c r="F24" s="219"/>
      <c r="G24" s="219"/>
      <c r="H24" s="215"/>
    </row>
    <row r="25" spans="1:8" s="214" customFormat="1" ht="18">
      <c r="A25" s="220">
        <v>40116</v>
      </c>
      <c r="B25" s="221" t="s">
        <v>500</v>
      </c>
      <c r="C25" s="222" t="s">
        <v>226</v>
      </c>
      <c r="D25" s="219"/>
      <c r="E25" s="219"/>
      <c r="F25" s="219"/>
      <c r="G25" s="219"/>
      <c r="H25" s="215"/>
    </row>
    <row r="26" spans="1:8" s="214" customFormat="1" ht="72">
      <c r="A26" s="220">
        <v>40116</v>
      </c>
      <c r="B26" s="221" t="s">
        <v>253</v>
      </c>
      <c r="C26" s="222" t="s">
        <v>226</v>
      </c>
      <c r="D26" s="219"/>
      <c r="E26" s="219"/>
      <c r="F26" s="219"/>
      <c r="G26" s="219"/>
      <c r="H26" s="215"/>
    </row>
    <row r="27" spans="1:8" s="214" customFormat="1" ht="36">
      <c r="A27" s="220">
        <v>40263</v>
      </c>
      <c r="B27" s="221" t="s">
        <v>320</v>
      </c>
      <c r="C27" s="222" t="s">
        <v>226</v>
      </c>
      <c r="D27" s="219"/>
      <c r="E27" s="219"/>
      <c r="F27" s="219"/>
      <c r="G27" s="219"/>
      <c r="H27" s="215"/>
    </row>
    <row r="28" spans="1:8" s="214" customFormat="1" ht="36">
      <c r="A28" s="220">
        <v>40263</v>
      </c>
      <c r="B28" s="221" t="s">
        <v>322</v>
      </c>
      <c r="C28" s="222" t="s">
        <v>226</v>
      </c>
      <c r="D28" s="219"/>
      <c r="E28" s="219"/>
      <c r="F28" s="219"/>
      <c r="G28" s="219"/>
      <c r="H28" s="215"/>
    </row>
    <row r="29" spans="1:8" s="214" customFormat="1" ht="36">
      <c r="A29" s="249">
        <v>40628</v>
      </c>
      <c r="B29" s="221" t="s">
        <v>323</v>
      </c>
      <c r="C29" s="222" t="s">
        <v>226</v>
      </c>
      <c r="D29" s="219"/>
      <c r="E29" s="219"/>
      <c r="F29" s="219"/>
      <c r="G29" s="219"/>
      <c r="H29" s="215"/>
    </row>
    <row r="30" spans="1:8" s="214" customFormat="1" ht="36">
      <c r="A30" s="251">
        <v>40628</v>
      </c>
      <c r="B30" s="221" t="s">
        <v>328</v>
      </c>
      <c r="C30" s="222" t="s">
        <v>226</v>
      </c>
      <c r="D30" s="219"/>
      <c r="E30" s="219"/>
      <c r="F30" s="219"/>
      <c r="G30" s="219"/>
      <c r="H30" s="215"/>
    </row>
    <row r="31" spans="1:8" s="214" customFormat="1" ht="36">
      <c r="A31" s="220">
        <v>40263</v>
      </c>
      <c r="B31" s="221" t="s">
        <v>438</v>
      </c>
      <c r="C31" s="222" t="s">
        <v>226</v>
      </c>
      <c r="D31" s="219"/>
      <c r="E31" s="219"/>
      <c r="F31" s="219"/>
      <c r="G31" s="219"/>
      <c r="H31" s="215"/>
    </row>
    <row r="32" spans="1:8" s="214" customFormat="1" ht="18">
      <c r="A32" s="251">
        <v>40628</v>
      </c>
      <c r="B32" s="221" t="s">
        <v>500</v>
      </c>
      <c r="C32" s="222" t="s">
        <v>226</v>
      </c>
      <c r="D32" s="219"/>
      <c r="E32" s="219"/>
      <c r="F32" s="219"/>
      <c r="G32" s="219"/>
      <c r="H32" s="215"/>
    </row>
    <row r="33" spans="1:8" s="214" customFormat="1" ht="72">
      <c r="A33" s="249">
        <v>40263</v>
      </c>
      <c r="B33" s="221" t="s">
        <v>321</v>
      </c>
      <c r="C33" s="250" t="s">
        <v>226</v>
      </c>
      <c r="D33" s="219"/>
      <c r="E33" s="219"/>
      <c r="F33" s="219"/>
      <c r="G33" s="219"/>
      <c r="H33" s="215"/>
    </row>
    <row r="34" spans="1:8" s="214" customFormat="1" ht="54">
      <c r="A34" s="220">
        <v>40952</v>
      </c>
      <c r="B34" s="347" t="s">
        <v>449</v>
      </c>
      <c r="C34" s="222" t="s">
        <v>226</v>
      </c>
      <c r="D34" s="219"/>
      <c r="E34" s="219"/>
      <c r="F34" s="219"/>
      <c r="G34" s="219"/>
      <c r="H34" s="215"/>
    </row>
    <row r="35" spans="1:8" s="214" customFormat="1" ht="36">
      <c r="A35" s="220">
        <v>40952</v>
      </c>
      <c r="B35" s="347" t="s">
        <v>453</v>
      </c>
      <c r="C35" s="222"/>
      <c r="D35" s="219"/>
      <c r="E35" s="219"/>
      <c r="F35" s="219"/>
      <c r="G35" s="219"/>
      <c r="H35" s="215"/>
    </row>
    <row r="36" spans="1:8" s="214" customFormat="1" ht="18">
      <c r="A36" s="220">
        <v>40952</v>
      </c>
      <c r="B36" s="221" t="s">
        <v>500</v>
      </c>
      <c r="C36" s="222" t="s">
        <v>226</v>
      </c>
      <c r="D36" s="219"/>
      <c r="E36" s="219"/>
      <c r="F36" s="219"/>
      <c r="G36" s="219"/>
      <c r="H36" s="215"/>
    </row>
    <row r="37" spans="1:8" s="214" customFormat="1" ht="72">
      <c r="A37" s="220">
        <v>40952</v>
      </c>
      <c r="B37" s="221" t="s">
        <v>450</v>
      </c>
      <c r="C37" s="222" t="s">
        <v>226</v>
      </c>
      <c r="D37" s="219"/>
      <c r="E37" s="219"/>
      <c r="F37" s="219"/>
      <c r="G37" s="219"/>
      <c r="H37" s="215"/>
    </row>
    <row r="38" spans="1:8" s="214" customFormat="1" ht="54">
      <c r="A38" s="220">
        <v>41005</v>
      </c>
      <c r="B38" s="221" t="s">
        <v>472</v>
      </c>
      <c r="C38" s="222" t="s">
        <v>226</v>
      </c>
      <c r="D38" s="219"/>
      <c r="E38" s="219"/>
      <c r="F38" s="219"/>
      <c r="G38" s="219"/>
      <c r="H38" s="215"/>
    </row>
    <row r="39" spans="1:8" s="214" customFormat="1" ht="18">
      <c r="A39" s="220">
        <v>41057</v>
      </c>
      <c r="B39" s="221" t="s">
        <v>473</v>
      </c>
      <c r="C39" s="222" t="s">
        <v>226</v>
      </c>
      <c r="D39" s="219"/>
      <c r="E39" s="219"/>
      <c r="F39" s="219"/>
      <c r="G39" s="219"/>
      <c r="H39" s="215"/>
    </row>
    <row r="40" spans="1:8" s="214" customFormat="1" ht="18">
      <c r="A40" s="220">
        <v>41063</v>
      </c>
      <c r="B40" s="221" t="s">
        <v>495</v>
      </c>
      <c r="C40" s="222" t="s">
        <v>226</v>
      </c>
      <c r="D40" s="219"/>
      <c r="E40" s="219"/>
      <c r="F40" s="219"/>
      <c r="G40" s="219"/>
      <c r="H40" s="215"/>
    </row>
    <row r="41" spans="1:8" s="214" customFormat="1" ht="36">
      <c r="A41" s="220">
        <v>41063</v>
      </c>
      <c r="B41" s="221" t="s">
        <v>496</v>
      </c>
      <c r="C41" s="222" t="s">
        <v>226</v>
      </c>
      <c r="D41" s="219"/>
      <c r="E41" s="219"/>
      <c r="F41" s="219"/>
      <c r="G41" s="219"/>
      <c r="H41" s="215"/>
    </row>
    <row r="42" spans="1:8" s="214" customFormat="1" ht="36">
      <c r="A42" s="220">
        <v>41063</v>
      </c>
      <c r="B42" s="221" t="s">
        <v>497</v>
      </c>
      <c r="C42" s="222" t="s">
        <v>226</v>
      </c>
      <c r="D42" s="219"/>
      <c r="E42" s="219"/>
      <c r="F42" s="219"/>
      <c r="G42" s="219"/>
      <c r="H42" s="215"/>
    </row>
    <row r="43" spans="1:8" s="214" customFormat="1" ht="36">
      <c r="A43" s="220">
        <v>41063</v>
      </c>
      <c r="B43" s="347" t="s">
        <v>498</v>
      </c>
      <c r="C43" s="222" t="s">
        <v>226</v>
      </c>
      <c r="D43" s="219"/>
      <c r="E43" s="219"/>
      <c r="F43" s="219"/>
      <c r="G43" s="219"/>
      <c r="H43" s="215"/>
    </row>
    <row r="44" spans="1:8" s="214" customFormat="1" ht="36">
      <c r="A44" s="220">
        <v>41063</v>
      </c>
      <c r="B44" s="347" t="s">
        <v>499</v>
      </c>
      <c r="C44" s="351" t="s">
        <v>226</v>
      </c>
      <c r="D44" s="219"/>
      <c r="E44" s="219"/>
      <c r="F44" s="219"/>
      <c r="G44" s="219"/>
      <c r="H44" s="215"/>
    </row>
    <row r="45" spans="1:8" s="214" customFormat="1" ht="18">
      <c r="A45" s="220">
        <v>41063</v>
      </c>
      <c r="B45" s="221" t="s">
        <v>500</v>
      </c>
      <c r="C45" s="222" t="s">
        <v>226</v>
      </c>
      <c r="D45" s="219"/>
      <c r="E45" s="219"/>
      <c r="F45" s="219"/>
      <c r="G45" s="219"/>
      <c r="H45" s="215"/>
    </row>
    <row r="46" spans="1:8" s="214" customFormat="1" ht="72">
      <c r="A46" s="220">
        <v>41063</v>
      </c>
      <c r="B46" s="221" t="s">
        <v>501</v>
      </c>
      <c r="C46" s="351" t="s">
        <v>226</v>
      </c>
      <c r="D46" s="219"/>
      <c r="E46" s="219"/>
      <c r="F46" s="219"/>
      <c r="G46" s="219"/>
      <c r="H46" s="215"/>
    </row>
    <row r="47" spans="1:8" s="214" customFormat="1" ht="18">
      <c r="A47" s="220">
        <v>41134</v>
      </c>
      <c r="B47" s="221" t="s">
        <v>507</v>
      </c>
      <c r="C47" s="222" t="s">
        <v>226</v>
      </c>
      <c r="D47" s="219"/>
      <c r="E47" s="219"/>
      <c r="F47" s="219"/>
      <c r="G47" s="219"/>
      <c r="H47" s="215"/>
    </row>
    <row r="48" spans="1:8" s="214" customFormat="1" ht="18">
      <c r="A48" s="352">
        <v>41323</v>
      </c>
      <c r="B48" s="347" t="s">
        <v>508</v>
      </c>
      <c r="C48" s="353" t="s">
        <v>226</v>
      </c>
      <c r="D48" s="219"/>
      <c r="E48" s="219"/>
      <c r="F48" s="219"/>
      <c r="G48" s="219"/>
      <c r="H48" s="215"/>
    </row>
    <row r="49" spans="1:8" s="214" customFormat="1" ht="18">
      <c r="A49" s="352">
        <v>41323</v>
      </c>
      <c r="B49" s="347" t="s">
        <v>509</v>
      </c>
      <c r="C49" s="353" t="s">
        <v>226</v>
      </c>
      <c r="D49" s="219"/>
      <c r="E49" s="219"/>
      <c r="F49" s="219"/>
      <c r="G49" s="219"/>
      <c r="H49" s="215"/>
    </row>
    <row r="50" spans="1:8" s="214" customFormat="1" ht="18">
      <c r="A50" s="352">
        <v>41323</v>
      </c>
      <c r="B50" s="347" t="s">
        <v>757</v>
      </c>
      <c r="C50" s="353" t="s">
        <v>226</v>
      </c>
      <c r="D50" s="219"/>
      <c r="E50" s="219"/>
      <c r="F50" s="219"/>
      <c r="G50" s="219"/>
      <c r="H50" s="215"/>
    </row>
    <row r="51" spans="1:8" s="214" customFormat="1" ht="72">
      <c r="A51" s="352">
        <v>41323</v>
      </c>
      <c r="B51" s="221" t="s">
        <v>510</v>
      </c>
      <c r="C51" s="354" t="s">
        <v>226</v>
      </c>
      <c r="D51" s="219"/>
      <c r="E51" s="219"/>
      <c r="F51" s="219"/>
      <c r="G51" s="219"/>
      <c r="H51" s="215"/>
    </row>
    <row r="52" spans="1:8" s="214" customFormat="1" ht="54">
      <c r="A52" s="220">
        <v>41366</v>
      </c>
      <c r="B52" s="221" t="s">
        <v>512</v>
      </c>
      <c r="C52" s="222" t="s">
        <v>226</v>
      </c>
      <c r="D52" s="219"/>
      <c r="E52" s="219"/>
      <c r="F52" s="219"/>
      <c r="G52" s="219"/>
      <c r="H52" s="215"/>
    </row>
    <row r="53" spans="1:8" s="214" customFormat="1" ht="18">
      <c r="A53" s="220">
        <v>41366</v>
      </c>
      <c r="B53" s="347" t="s">
        <v>757</v>
      </c>
      <c r="C53" s="222" t="s">
        <v>226</v>
      </c>
      <c r="D53" s="219"/>
      <c r="E53" s="219"/>
      <c r="F53" s="219"/>
      <c r="G53" s="219"/>
      <c r="H53" s="215"/>
    </row>
    <row r="54" spans="1:8" s="214" customFormat="1" ht="72">
      <c r="A54" s="220">
        <v>41366</v>
      </c>
      <c r="B54" s="221" t="s">
        <v>511</v>
      </c>
      <c r="C54" s="222" t="s">
        <v>226</v>
      </c>
      <c r="D54" s="219"/>
      <c r="E54" s="219"/>
      <c r="F54" s="219"/>
      <c r="G54" s="219"/>
      <c r="H54" s="215"/>
    </row>
    <row r="55" spans="1:8" s="214" customFormat="1" ht="36">
      <c r="A55" s="220">
        <v>41451</v>
      </c>
      <c r="B55" s="221" t="s">
        <v>514</v>
      </c>
      <c r="C55" s="222" t="s">
        <v>226</v>
      </c>
      <c r="D55" s="219"/>
      <c r="E55" s="219"/>
      <c r="F55" s="219"/>
      <c r="G55" s="219"/>
      <c r="H55" s="215"/>
    </row>
    <row r="56" spans="1:8" s="214" customFormat="1" ht="18">
      <c r="A56" s="220">
        <v>41518</v>
      </c>
      <c r="B56" s="221" t="s">
        <v>544</v>
      </c>
      <c r="C56" s="222" t="s">
        <v>226</v>
      </c>
      <c r="D56" s="219"/>
      <c r="E56" s="219"/>
      <c r="F56" s="219"/>
      <c r="G56" s="219"/>
      <c r="H56" s="215"/>
    </row>
    <row r="57" spans="1:8" s="214" customFormat="1" ht="36">
      <c r="A57" s="220">
        <v>41518</v>
      </c>
      <c r="B57" s="221" t="s">
        <v>545</v>
      </c>
      <c r="C57" s="222" t="s">
        <v>226</v>
      </c>
      <c r="D57" s="219"/>
      <c r="E57" s="219"/>
      <c r="F57" s="219"/>
      <c r="G57" s="219"/>
      <c r="H57" s="215"/>
    </row>
    <row r="58" spans="1:8" s="214" customFormat="1" ht="18">
      <c r="A58" s="220">
        <v>41518</v>
      </c>
      <c r="B58" s="221" t="s">
        <v>546</v>
      </c>
      <c r="C58" s="222" t="s">
        <v>226</v>
      </c>
      <c r="D58" s="219"/>
      <c r="E58" s="219"/>
      <c r="F58" s="219"/>
      <c r="G58" s="219"/>
      <c r="H58" s="215"/>
    </row>
    <row r="59" spans="1:8" s="214" customFormat="1" ht="18">
      <c r="A59" s="220">
        <v>41518</v>
      </c>
      <c r="B59" s="347" t="s">
        <v>547</v>
      </c>
      <c r="C59" s="222" t="s">
        <v>226</v>
      </c>
      <c r="D59" s="219"/>
      <c r="E59" s="219"/>
      <c r="F59" s="219"/>
      <c r="G59" s="219"/>
      <c r="H59" s="215"/>
    </row>
    <row r="60" spans="1:8" s="214" customFormat="1" ht="72">
      <c r="A60" s="220">
        <v>41518</v>
      </c>
      <c r="B60" s="221" t="s">
        <v>548</v>
      </c>
      <c r="C60" s="222" t="s">
        <v>226</v>
      </c>
      <c r="D60" s="219"/>
      <c r="E60" s="219"/>
      <c r="F60" s="219"/>
      <c r="G60" s="219"/>
      <c r="H60" s="215"/>
    </row>
    <row r="61" spans="1:8" s="214" customFormat="1" ht="36">
      <c r="A61" s="220">
        <v>41649</v>
      </c>
      <c r="B61" s="221" t="s">
        <v>556</v>
      </c>
      <c r="C61" s="222" t="s">
        <v>226</v>
      </c>
      <c r="D61" s="219"/>
      <c r="E61" s="219"/>
      <c r="F61" s="219"/>
      <c r="G61" s="219"/>
      <c r="H61" s="215"/>
    </row>
    <row r="62" spans="1:8" s="214" customFormat="1" ht="36">
      <c r="A62" s="220">
        <v>41820</v>
      </c>
      <c r="B62" s="221" t="s">
        <v>558</v>
      </c>
      <c r="C62" s="222" t="s">
        <v>226</v>
      </c>
      <c r="D62" s="219"/>
      <c r="E62" s="219"/>
      <c r="F62" s="219"/>
      <c r="G62" s="219"/>
      <c r="H62" s="215"/>
    </row>
    <row r="63" spans="1:8" s="214" customFormat="1" ht="18">
      <c r="A63" s="220">
        <v>41820</v>
      </c>
      <c r="B63" s="347" t="s">
        <v>758</v>
      </c>
      <c r="C63" s="370" t="s">
        <v>226</v>
      </c>
      <c r="D63" s="219"/>
      <c r="E63" s="219"/>
      <c r="F63" s="219"/>
      <c r="G63" s="219"/>
      <c r="H63" s="215"/>
    </row>
    <row r="64" spans="1:8" s="214" customFormat="1" ht="72">
      <c r="A64" s="220">
        <v>41820</v>
      </c>
      <c r="B64" s="221" t="s">
        <v>774</v>
      </c>
      <c r="C64" s="369" t="s">
        <v>226</v>
      </c>
      <c r="D64" s="219"/>
      <c r="E64" s="219"/>
      <c r="F64" s="219"/>
      <c r="G64" s="219"/>
      <c r="H64" s="215"/>
    </row>
    <row r="65" spans="1:8" s="214" customFormat="1" ht="54">
      <c r="A65" s="220">
        <v>41876</v>
      </c>
      <c r="B65" s="221" t="s">
        <v>775</v>
      </c>
      <c r="C65" s="222" t="s">
        <v>226</v>
      </c>
      <c r="D65" s="219"/>
      <c r="E65" s="219"/>
      <c r="F65" s="219"/>
      <c r="G65" s="219"/>
      <c r="H65" s="215"/>
    </row>
    <row r="66" spans="1:8" s="214" customFormat="1" ht="18">
      <c r="A66" s="220">
        <v>41876</v>
      </c>
      <c r="B66" s="347" t="s">
        <v>758</v>
      </c>
      <c r="C66" s="370" t="s">
        <v>226</v>
      </c>
      <c r="D66" s="219"/>
      <c r="E66" s="219"/>
      <c r="F66" s="219"/>
      <c r="G66" s="219"/>
      <c r="H66" s="215"/>
    </row>
    <row r="67" spans="1:8" s="214" customFormat="1" ht="72">
      <c r="A67" s="220">
        <v>41876</v>
      </c>
      <c r="B67" s="221" t="s">
        <v>773</v>
      </c>
      <c r="C67" s="369" t="s">
        <v>226</v>
      </c>
      <c r="D67" s="219"/>
      <c r="E67" s="219"/>
      <c r="F67" s="219"/>
      <c r="G67" s="219"/>
      <c r="H67" s="215"/>
    </row>
    <row r="68" spans="1:8" s="214" customFormat="1" ht="36">
      <c r="A68" s="587">
        <v>41934</v>
      </c>
      <c r="B68" s="586" t="s">
        <v>779</v>
      </c>
      <c r="C68" s="585" t="s">
        <v>226</v>
      </c>
      <c r="D68" s="219"/>
      <c r="E68" s="219"/>
      <c r="F68" s="219"/>
      <c r="G68" s="219"/>
      <c r="H68" s="584"/>
    </row>
    <row r="69" spans="1:8" s="214" customFormat="1" ht="18">
      <c r="A69" s="573">
        <v>41934</v>
      </c>
      <c r="B69" s="574" t="s">
        <v>776</v>
      </c>
      <c r="C69" s="575" t="s">
        <v>226</v>
      </c>
      <c r="D69" s="219"/>
      <c r="E69" s="219"/>
      <c r="F69" s="219"/>
      <c r="G69" s="219"/>
      <c r="H69" s="215"/>
    </row>
    <row r="70" spans="1:8" s="214" customFormat="1" ht="18">
      <c r="A70" s="220">
        <v>41934</v>
      </c>
      <c r="B70" s="347" t="s">
        <v>758</v>
      </c>
      <c r="C70" s="222" t="s">
        <v>226</v>
      </c>
      <c r="D70" s="219"/>
      <c r="E70" s="219"/>
      <c r="F70" s="219"/>
      <c r="G70" s="219"/>
      <c r="H70" s="584"/>
    </row>
    <row r="71" spans="1:8" s="214" customFormat="1" ht="72">
      <c r="A71" s="220">
        <v>41934</v>
      </c>
      <c r="B71" s="221" t="s">
        <v>780</v>
      </c>
      <c r="C71" s="222" t="s">
        <v>226</v>
      </c>
      <c r="D71" s="219"/>
      <c r="E71" s="219"/>
      <c r="F71" s="219"/>
      <c r="G71" s="219"/>
      <c r="H71" s="215"/>
    </row>
    <row r="72" spans="1:8" s="214" customFormat="1" ht="18">
      <c r="A72" s="220"/>
      <c r="B72" s="221"/>
      <c r="C72" s="222"/>
      <c r="D72" s="219"/>
      <c r="E72" s="219"/>
      <c r="F72" s="219"/>
      <c r="G72" s="219"/>
      <c r="H72" s="215"/>
    </row>
    <row r="73" spans="1:8" s="214" customFormat="1" ht="18">
      <c r="A73" s="219"/>
      <c r="B73" s="219"/>
      <c r="C73" s="219"/>
      <c r="D73" s="219"/>
      <c r="E73" s="219"/>
      <c r="F73" s="219"/>
      <c r="G73" s="219"/>
      <c r="H73" s="215"/>
    </row>
    <row r="74" spans="1:8" s="214" customFormat="1" ht="18">
      <c r="A74" s="219"/>
      <c r="B74" s="219"/>
      <c r="C74" s="219"/>
      <c r="D74" s="219"/>
      <c r="E74" s="219"/>
      <c r="F74" s="219"/>
      <c r="G74" s="219"/>
      <c r="H74" s="215"/>
    </row>
    <row r="75" spans="1:8" s="214" customFormat="1" ht="18">
      <c r="A75" s="219"/>
      <c r="B75" s="219"/>
      <c r="C75" s="219"/>
      <c r="D75" s="219"/>
      <c r="E75" s="219"/>
      <c r="F75" s="219"/>
      <c r="G75" s="219"/>
      <c r="H75" s="215"/>
    </row>
    <row r="76" spans="1:8" s="214" customFormat="1" ht="18">
      <c r="A76" s="219"/>
      <c r="B76" s="219"/>
      <c r="C76" s="219"/>
      <c r="D76" s="219"/>
      <c r="E76" s="219"/>
      <c r="F76" s="219"/>
      <c r="G76" s="219"/>
      <c r="H76" s="215"/>
    </row>
    <row r="77" spans="1:8" s="214" customFormat="1" ht="18">
      <c r="A77" s="219"/>
      <c r="B77" s="219"/>
      <c r="C77" s="219"/>
      <c r="D77" s="219"/>
      <c r="E77" s="219"/>
      <c r="F77" s="219"/>
      <c r="G77" s="219"/>
      <c r="H77" s="215"/>
    </row>
    <row r="78" spans="1:8" s="214" customFormat="1" ht="18">
      <c r="A78" s="219"/>
      <c r="B78" s="219"/>
      <c r="C78" s="219"/>
      <c r="D78" s="219"/>
      <c r="E78" s="219"/>
      <c r="F78" s="219"/>
      <c r="G78" s="219"/>
      <c r="H78" s="215"/>
    </row>
    <row r="79" spans="1:8" s="214" customFormat="1" ht="18">
      <c r="A79" s="219"/>
      <c r="B79" s="219"/>
      <c r="C79" s="219"/>
      <c r="D79" s="219"/>
      <c r="E79" s="219"/>
      <c r="F79" s="219"/>
      <c r="G79" s="219"/>
      <c r="H79" s="215"/>
    </row>
    <row r="80" spans="1:8" s="214" customFormat="1" ht="18">
      <c r="A80" s="219"/>
      <c r="B80" s="219"/>
      <c r="C80" s="219"/>
      <c r="D80" s="219"/>
      <c r="E80" s="219"/>
      <c r="F80" s="219"/>
      <c r="G80" s="219"/>
      <c r="H80" s="215"/>
    </row>
    <row r="81" spans="1:8" s="214" customFormat="1" ht="18">
      <c r="A81" s="219"/>
      <c r="B81" s="219"/>
      <c r="C81" s="219"/>
      <c r="D81" s="219"/>
      <c r="E81" s="219"/>
      <c r="F81" s="219"/>
      <c r="G81" s="219"/>
      <c r="H81" s="215"/>
    </row>
    <row r="82" spans="1:8" s="214" customFormat="1" ht="18">
      <c r="A82" s="219"/>
      <c r="B82" s="219"/>
      <c r="C82" s="219"/>
      <c r="D82" s="219"/>
      <c r="E82" s="219"/>
      <c r="F82" s="219"/>
      <c r="G82" s="219"/>
      <c r="H82" s="215"/>
    </row>
    <row r="83" spans="1:8" s="214" customFormat="1" ht="18">
      <c r="A83" s="219"/>
      <c r="B83" s="219"/>
      <c r="C83" s="219"/>
      <c r="D83" s="219"/>
      <c r="E83" s="219"/>
      <c r="F83" s="219"/>
      <c r="G83" s="219"/>
      <c r="H83" s="215"/>
    </row>
    <row r="84" spans="1:8" s="214" customFormat="1" ht="18">
      <c r="A84" s="219"/>
      <c r="B84" s="219"/>
      <c r="C84" s="219"/>
      <c r="D84" s="219"/>
      <c r="E84" s="219"/>
      <c r="F84" s="219"/>
      <c r="G84" s="219"/>
      <c r="H84" s="215"/>
    </row>
    <row r="85" spans="1:8" s="214" customFormat="1" ht="18">
      <c r="A85" s="219"/>
      <c r="B85" s="219"/>
      <c r="C85" s="219"/>
      <c r="D85" s="219"/>
      <c r="E85" s="219"/>
      <c r="F85" s="219"/>
      <c r="G85" s="219"/>
      <c r="H85" s="215"/>
    </row>
    <row r="86" spans="1:8" s="214" customFormat="1" ht="18">
      <c r="A86" s="219"/>
      <c r="B86" s="219"/>
      <c r="C86" s="219"/>
      <c r="D86" s="219"/>
      <c r="E86" s="219"/>
      <c r="F86" s="219"/>
      <c r="G86" s="219"/>
      <c r="H86" s="215"/>
    </row>
    <row r="87" spans="1:8" s="214" customFormat="1" ht="18">
      <c r="A87" s="219"/>
      <c r="B87" s="219"/>
      <c r="C87" s="219"/>
      <c r="D87" s="219"/>
      <c r="E87" s="219"/>
      <c r="F87" s="219"/>
      <c r="G87" s="219"/>
      <c r="H87" s="215"/>
    </row>
    <row r="88" spans="1:8" s="214" customFormat="1" ht="18">
      <c r="A88" s="219"/>
      <c r="B88" s="219"/>
      <c r="C88" s="219"/>
      <c r="D88" s="219"/>
      <c r="E88" s="219"/>
      <c r="F88" s="219"/>
      <c r="G88" s="219"/>
      <c r="H88" s="215"/>
    </row>
    <row r="89" spans="1:8" s="214" customFormat="1" ht="18">
      <c r="A89" s="219"/>
      <c r="B89" s="219"/>
      <c r="C89" s="219"/>
      <c r="D89" s="219"/>
      <c r="E89" s="219"/>
      <c r="F89" s="219"/>
      <c r="G89" s="219"/>
      <c r="H89" s="215"/>
    </row>
    <row r="90" spans="1:8" s="214" customFormat="1" ht="18">
      <c r="A90" s="219"/>
      <c r="B90" s="219"/>
      <c r="C90" s="219"/>
      <c r="D90" s="219"/>
      <c r="E90" s="219"/>
      <c r="F90" s="219"/>
      <c r="G90" s="219"/>
      <c r="H90" s="215"/>
    </row>
    <row r="91" spans="1:8" s="214" customFormat="1" ht="18">
      <c r="A91" s="219"/>
      <c r="B91" s="219"/>
      <c r="C91" s="219"/>
      <c r="D91" s="219"/>
      <c r="E91" s="219"/>
      <c r="F91" s="219"/>
      <c r="G91" s="219"/>
      <c r="H91" s="215"/>
    </row>
    <row r="92" spans="1:8" s="214" customFormat="1" ht="18">
      <c r="A92" s="219"/>
      <c r="B92" s="219"/>
      <c r="C92" s="219"/>
      <c r="D92" s="219"/>
      <c r="E92" s="219"/>
      <c r="F92" s="219"/>
      <c r="G92" s="219"/>
      <c r="H92" s="215"/>
    </row>
    <row r="93" spans="1:8" s="214" customFormat="1" ht="18">
      <c r="A93" s="219"/>
      <c r="B93" s="219"/>
      <c r="C93" s="219"/>
      <c r="D93" s="219"/>
      <c r="E93" s="219"/>
      <c r="F93" s="219"/>
      <c r="G93" s="219"/>
      <c r="H93" s="215"/>
    </row>
    <row r="94" spans="1:8" s="214" customFormat="1" ht="18">
      <c r="A94" s="219"/>
      <c r="B94" s="219"/>
      <c r="C94" s="219"/>
      <c r="D94" s="219"/>
      <c r="E94" s="219"/>
      <c r="F94" s="219"/>
      <c r="G94" s="219"/>
      <c r="H94" s="215"/>
    </row>
    <row r="95" spans="1:8" s="214" customFormat="1" ht="18">
      <c r="A95" s="219"/>
      <c r="B95" s="219"/>
      <c r="C95" s="219"/>
      <c r="D95" s="219"/>
      <c r="E95" s="219"/>
      <c r="F95" s="219"/>
      <c r="G95" s="219"/>
      <c r="H95" s="215"/>
    </row>
    <row r="96" spans="1:8" s="214" customFormat="1" ht="18">
      <c r="A96" s="219"/>
      <c r="B96" s="219"/>
      <c r="C96" s="219"/>
      <c r="D96" s="219"/>
      <c r="E96" s="219"/>
      <c r="F96" s="219"/>
      <c r="G96" s="219"/>
      <c r="H96" s="215"/>
    </row>
    <row r="97" spans="1:8" s="214" customFormat="1" ht="18">
      <c r="A97" s="219"/>
      <c r="B97" s="219"/>
      <c r="C97" s="219"/>
      <c r="D97" s="219"/>
      <c r="E97" s="219"/>
      <c r="F97" s="219"/>
      <c r="G97" s="219"/>
      <c r="H97" s="215"/>
    </row>
    <row r="98" spans="1:8" s="214" customFormat="1" ht="18">
      <c r="A98" s="219"/>
      <c r="B98" s="219"/>
      <c r="C98" s="219"/>
      <c r="D98" s="219"/>
      <c r="E98" s="219"/>
      <c r="F98" s="219"/>
      <c r="G98" s="219"/>
      <c r="H98" s="215"/>
    </row>
    <row r="99" spans="1:8" s="214" customFormat="1" ht="18">
      <c r="A99" s="219"/>
      <c r="B99" s="219"/>
      <c r="C99" s="219"/>
      <c r="D99" s="219"/>
      <c r="E99" s="219"/>
      <c r="F99" s="219"/>
      <c r="G99" s="219"/>
      <c r="H99" s="215"/>
    </row>
    <row r="100" spans="1:8" s="214" customFormat="1" ht="18">
      <c r="A100" s="219"/>
      <c r="B100" s="219"/>
      <c r="C100" s="219"/>
      <c r="D100" s="219"/>
      <c r="E100" s="219"/>
      <c r="F100" s="219"/>
      <c r="G100" s="219"/>
      <c r="H100" s="215"/>
    </row>
    <row r="101" spans="1:8" s="214" customFormat="1" ht="18">
      <c r="A101" s="219"/>
      <c r="B101" s="219"/>
      <c r="C101" s="219"/>
      <c r="D101" s="219"/>
      <c r="E101" s="219"/>
      <c r="F101" s="219"/>
      <c r="G101" s="219"/>
      <c r="H101" s="215"/>
    </row>
    <row r="102" spans="1:8" s="214" customFormat="1" ht="18">
      <c r="A102" s="219"/>
      <c r="B102" s="219"/>
      <c r="C102" s="219"/>
      <c r="D102" s="219"/>
      <c r="E102" s="219"/>
      <c r="F102" s="219"/>
      <c r="G102" s="219"/>
      <c r="H102" s="215"/>
    </row>
    <row r="103" spans="1:8" s="214" customFormat="1" ht="18">
      <c r="A103" s="219"/>
      <c r="B103" s="219"/>
      <c r="C103" s="219"/>
      <c r="D103" s="219"/>
      <c r="E103" s="219"/>
      <c r="F103" s="219"/>
      <c r="G103" s="219"/>
      <c r="H103" s="215"/>
    </row>
    <row r="104" spans="1:8" s="214" customFormat="1" ht="18">
      <c r="A104" s="219"/>
      <c r="B104" s="219"/>
      <c r="C104" s="219"/>
      <c r="D104" s="219"/>
      <c r="E104" s="219"/>
      <c r="F104" s="219"/>
      <c r="G104" s="219"/>
      <c r="H104" s="215"/>
    </row>
    <row r="105" spans="1:8" s="214" customFormat="1" ht="18">
      <c r="A105" s="219"/>
      <c r="B105" s="219"/>
      <c r="C105" s="219"/>
      <c r="D105" s="219"/>
      <c r="E105" s="219"/>
      <c r="F105" s="219"/>
      <c r="G105" s="219"/>
      <c r="H105" s="215"/>
    </row>
    <row r="106" spans="1:8" s="214" customFormat="1" ht="18">
      <c r="A106" s="219"/>
      <c r="B106" s="219"/>
      <c r="C106" s="219"/>
      <c r="D106" s="219"/>
      <c r="E106" s="219"/>
      <c r="F106" s="219"/>
      <c r="G106" s="219"/>
      <c r="H106" s="215"/>
    </row>
    <row r="107" spans="1:8" s="214" customFormat="1" ht="18">
      <c r="A107" s="219"/>
      <c r="B107" s="219"/>
      <c r="C107" s="219"/>
      <c r="D107" s="219"/>
      <c r="E107" s="219"/>
      <c r="F107" s="219"/>
      <c r="G107" s="219"/>
      <c r="H107" s="215"/>
    </row>
    <row r="108" spans="1:8" s="214" customFormat="1" ht="18">
      <c r="A108" s="219"/>
      <c r="B108" s="219"/>
      <c r="C108" s="219"/>
      <c r="D108" s="219"/>
      <c r="E108" s="219"/>
      <c r="F108" s="219"/>
      <c r="G108" s="219"/>
      <c r="H108" s="215"/>
    </row>
    <row r="109" spans="1:8" s="214" customFormat="1" ht="18">
      <c r="A109" s="219"/>
      <c r="B109" s="219"/>
      <c r="C109" s="219"/>
      <c r="D109" s="219"/>
      <c r="E109" s="219"/>
      <c r="F109" s="219"/>
      <c r="G109" s="219"/>
      <c r="H109" s="215"/>
    </row>
    <row r="110" spans="1:8" s="214" customFormat="1" ht="18">
      <c r="A110" s="219"/>
      <c r="B110" s="219"/>
      <c r="C110" s="219"/>
      <c r="D110" s="219"/>
      <c r="E110" s="219"/>
      <c r="F110" s="219"/>
      <c r="G110" s="219"/>
      <c r="H110" s="215"/>
    </row>
    <row r="111" spans="1:8" s="214" customFormat="1" ht="18">
      <c r="A111" s="219"/>
      <c r="B111" s="219"/>
      <c r="C111" s="219"/>
      <c r="D111" s="219"/>
      <c r="E111" s="219"/>
      <c r="F111" s="219"/>
      <c r="G111" s="219"/>
      <c r="H111" s="215"/>
    </row>
    <row r="112" spans="1:8" s="214" customFormat="1" ht="18">
      <c r="A112" s="219"/>
      <c r="B112" s="219"/>
      <c r="C112" s="219"/>
      <c r="D112" s="219"/>
      <c r="E112" s="219"/>
      <c r="F112" s="219"/>
      <c r="G112" s="219"/>
      <c r="H112" s="215"/>
    </row>
    <row r="113" spans="1:8" s="214" customFormat="1" ht="18">
      <c r="A113" s="219"/>
      <c r="B113" s="219"/>
      <c r="C113" s="219"/>
      <c r="D113" s="219"/>
      <c r="E113" s="219"/>
      <c r="F113" s="219"/>
      <c r="G113" s="219"/>
      <c r="H113" s="215"/>
    </row>
    <row r="114" spans="1:8" s="214" customFormat="1" ht="18">
      <c r="A114" s="219"/>
      <c r="B114" s="219"/>
      <c r="C114" s="219"/>
      <c r="D114" s="219"/>
      <c r="E114" s="219"/>
      <c r="F114" s="219"/>
      <c r="G114" s="219"/>
      <c r="H114" s="215"/>
    </row>
    <row r="115" spans="1:8" s="214" customFormat="1" ht="18">
      <c r="A115" s="219"/>
      <c r="B115" s="219"/>
      <c r="C115" s="219"/>
      <c r="D115" s="219"/>
      <c r="E115" s="219"/>
      <c r="F115" s="219"/>
      <c r="G115" s="219"/>
      <c r="H115" s="215"/>
    </row>
    <row r="116" spans="1:8" s="214" customFormat="1" ht="18">
      <c r="A116" s="219"/>
      <c r="B116" s="219"/>
      <c r="C116" s="219"/>
      <c r="D116" s="219"/>
      <c r="E116" s="219"/>
      <c r="F116" s="219"/>
      <c r="G116" s="219"/>
      <c r="H116" s="215"/>
    </row>
    <row r="117" spans="1:8" s="214" customFormat="1" ht="18">
      <c r="A117" s="219"/>
      <c r="B117" s="219"/>
      <c r="C117" s="219"/>
      <c r="D117" s="219"/>
      <c r="E117" s="219"/>
      <c r="F117" s="219"/>
      <c r="G117" s="219"/>
      <c r="H117" s="215"/>
    </row>
    <row r="118" spans="1:8" s="214" customFormat="1" ht="18">
      <c r="A118" s="219"/>
      <c r="B118" s="219"/>
      <c r="C118" s="219"/>
      <c r="D118" s="219"/>
      <c r="E118" s="219"/>
      <c r="F118" s="219"/>
      <c r="G118" s="219"/>
      <c r="H118" s="215"/>
    </row>
    <row r="119" spans="1:8" s="214" customFormat="1" ht="18">
      <c r="A119" s="219"/>
      <c r="B119" s="219"/>
      <c r="C119" s="219"/>
      <c r="D119" s="219"/>
      <c r="E119" s="219"/>
      <c r="F119" s="219"/>
      <c r="G119" s="219"/>
      <c r="H119" s="215"/>
    </row>
    <row r="120" spans="1:8" s="214" customFormat="1" ht="18">
      <c r="A120" s="219"/>
      <c r="B120" s="219"/>
      <c r="C120" s="219"/>
      <c r="D120" s="219"/>
      <c r="E120" s="219"/>
      <c r="F120" s="219"/>
      <c r="G120" s="219"/>
      <c r="H120" s="215"/>
    </row>
    <row r="121" spans="1:8" s="214" customFormat="1" ht="18">
      <c r="A121" s="219"/>
      <c r="B121" s="219"/>
      <c r="C121" s="219"/>
      <c r="D121" s="219"/>
      <c r="E121" s="219"/>
      <c r="F121" s="219"/>
      <c r="G121" s="219"/>
      <c r="H121" s="215"/>
    </row>
    <row r="122" spans="1:8" s="214" customFormat="1" ht="18">
      <c r="A122" s="219"/>
      <c r="B122" s="219"/>
      <c r="C122" s="219"/>
      <c r="D122" s="219"/>
      <c r="E122" s="219"/>
      <c r="F122" s="219"/>
      <c r="G122" s="219"/>
      <c r="H122" s="215"/>
    </row>
    <row r="123" spans="1:8" s="214" customFormat="1" ht="18">
      <c r="A123" s="219"/>
      <c r="B123" s="219"/>
      <c r="C123" s="219"/>
      <c r="D123" s="219"/>
      <c r="E123" s="219"/>
      <c r="F123" s="219"/>
      <c r="G123" s="219"/>
      <c r="H123" s="215"/>
    </row>
    <row r="124" spans="1:8" s="214" customFormat="1" ht="18">
      <c r="A124" s="219"/>
      <c r="B124" s="219"/>
      <c r="C124" s="219"/>
      <c r="D124" s="219"/>
      <c r="E124" s="219"/>
      <c r="F124" s="219"/>
      <c r="G124" s="219"/>
      <c r="H124" s="215"/>
    </row>
    <row r="125" spans="1:8" s="214" customFormat="1" ht="18">
      <c r="A125" s="219"/>
      <c r="B125" s="219"/>
      <c r="C125" s="219"/>
      <c r="D125" s="219"/>
      <c r="E125" s="219"/>
      <c r="F125" s="219"/>
      <c r="G125" s="219"/>
      <c r="H125" s="215"/>
    </row>
    <row r="126" spans="1:8" s="214" customFormat="1" ht="18">
      <c r="A126" s="219"/>
      <c r="B126" s="219"/>
      <c r="C126" s="219"/>
      <c r="D126" s="219"/>
      <c r="E126" s="219"/>
      <c r="F126" s="219"/>
      <c r="G126" s="219"/>
      <c r="H126" s="215"/>
    </row>
    <row r="127" spans="1:8" s="214" customFormat="1" ht="18">
      <c r="A127" s="219"/>
      <c r="B127" s="219"/>
      <c r="C127" s="219"/>
      <c r="D127" s="219"/>
      <c r="E127" s="219"/>
      <c r="F127" s="219"/>
      <c r="G127" s="219"/>
      <c r="H127" s="215"/>
    </row>
    <row r="128" spans="1:8" s="214" customFormat="1" ht="18">
      <c r="A128" s="219"/>
      <c r="B128" s="219"/>
      <c r="C128" s="219"/>
      <c r="D128" s="219"/>
      <c r="E128" s="219"/>
      <c r="F128" s="219"/>
      <c r="G128" s="219"/>
      <c r="H128" s="215"/>
    </row>
    <row r="129" spans="1:8" s="214" customFormat="1" ht="18">
      <c r="A129" s="219"/>
      <c r="B129" s="219"/>
      <c r="C129" s="219"/>
      <c r="D129" s="219"/>
      <c r="E129" s="219"/>
      <c r="F129" s="219"/>
      <c r="G129" s="219"/>
      <c r="H129" s="215"/>
    </row>
    <row r="130" spans="1:8" s="214" customFormat="1" ht="18">
      <c r="A130" s="219"/>
      <c r="B130" s="219"/>
      <c r="C130" s="219"/>
      <c r="D130" s="219"/>
      <c r="E130" s="219"/>
      <c r="F130" s="219"/>
      <c r="G130" s="219"/>
      <c r="H130" s="215"/>
    </row>
    <row r="131" spans="1:8" s="214" customFormat="1" ht="18">
      <c r="A131" s="219"/>
      <c r="B131" s="219"/>
      <c r="C131" s="219"/>
      <c r="D131" s="219"/>
      <c r="E131" s="219"/>
      <c r="F131" s="219"/>
      <c r="G131" s="219"/>
      <c r="H131" s="215"/>
    </row>
    <row r="132" spans="1:8" s="214" customFormat="1" ht="18">
      <c r="A132" s="219"/>
      <c r="B132" s="219"/>
      <c r="C132" s="219"/>
      <c r="D132" s="219"/>
      <c r="E132" s="219"/>
      <c r="F132" s="219"/>
      <c r="G132" s="219"/>
      <c r="H132" s="215"/>
    </row>
    <row r="133" spans="1:8" s="214" customFormat="1" ht="18">
      <c r="A133" s="219"/>
      <c r="B133" s="219"/>
      <c r="C133" s="219"/>
      <c r="D133" s="219"/>
      <c r="E133" s="219"/>
      <c r="F133" s="219"/>
      <c r="G133" s="219"/>
      <c r="H133" s="215"/>
    </row>
    <row r="134" spans="1:8" s="214" customFormat="1" ht="18">
      <c r="A134" s="219"/>
      <c r="B134" s="219"/>
      <c r="C134" s="219"/>
      <c r="D134" s="219"/>
      <c r="E134" s="219"/>
      <c r="F134" s="219"/>
      <c r="G134" s="219"/>
      <c r="H134" s="215"/>
    </row>
    <row r="135" spans="1:8" s="214" customFormat="1" ht="18">
      <c r="A135" s="219"/>
      <c r="B135" s="219"/>
      <c r="C135" s="219"/>
      <c r="D135" s="219"/>
      <c r="E135" s="219"/>
      <c r="F135" s="219"/>
      <c r="G135" s="219"/>
      <c r="H135" s="215"/>
    </row>
    <row r="136" spans="1:8" s="214" customFormat="1" ht="18">
      <c r="A136" s="219"/>
      <c r="B136" s="219"/>
      <c r="C136" s="219"/>
      <c r="D136" s="219"/>
      <c r="E136" s="219"/>
      <c r="F136" s="219"/>
      <c r="G136" s="219"/>
      <c r="H136" s="215"/>
    </row>
    <row r="137" spans="1:8" s="214" customFormat="1" ht="18">
      <c r="A137" s="219"/>
      <c r="B137" s="219"/>
      <c r="C137" s="219"/>
      <c r="D137" s="219"/>
      <c r="E137" s="219"/>
      <c r="F137" s="219"/>
      <c r="G137" s="219"/>
      <c r="H137" s="215"/>
    </row>
    <row r="138" spans="1:8" s="214" customFormat="1" ht="18">
      <c r="A138" s="219"/>
      <c r="B138" s="219"/>
      <c r="C138" s="219"/>
      <c r="D138" s="219"/>
      <c r="E138" s="219"/>
      <c r="F138" s="219"/>
      <c r="G138" s="219"/>
      <c r="H138" s="215"/>
    </row>
    <row r="139" spans="1:8" s="214" customFormat="1" ht="18">
      <c r="A139" s="219"/>
      <c r="B139" s="219"/>
      <c r="C139" s="219"/>
      <c r="D139" s="219"/>
      <c r="E139" s="219"/>
      <c r="F139" s="219"/>
      <c r="G139" s="219"/>
      <c r="H139" s="215"/>
    </row>
    <row r="140" spans="1:8" s="214" customFormat="1" ht="18">
      <c r="A140" s="219"/>
      <c r="B140" s="219"/>
      <c r="C140" s="219"/>
      <c r="D140" s="219"/>
      <c r="E140" s="219"/>
      <c r="F140" s="219"/>
      <c r="G140" s="219"/>
      <c r="H140" s="215"/>
    </row>
    <row r="141" spans="1:8" s="214" customFormat="1" ht="18">
      <c r="A141" s="219"/>
      <c r="B141" s="219"/>
      <c r="C141" s="219"/>
      <c r="D141" s="219"/>
      <c r="E141" s="219"/>
      <c r="F141" s="219"/>
      <c r="G141" s="219"/>
      <c r="H141" s="215"/>
    </row>
    <row r="142" spans="1:8" s="214" customFormat="1" ht="18">
      <c r="A142" s="219"/>
      <c r="B142" s="219"/>
      <c r="C142" s="219"/>
      <c r="D142" s="219"/>
      <c r="E142" s="219"/>
      <c r="F142" s="219"/>
      <c r="G142" s="219"/>
      <c r="H142" s="215"/>
    </row>
    <row r="143" spans="1:8" s="214" customFormat="1" ht="18">
      <c r="A143" s="219"/>
      <c r="B143" s="219"/>
      <c r="C143" s="219"/>
      <c r="D143" s="219"/>
      <c r="E143" s="219"/>
      <c r="F143" s="219"/>
      <c r="G143" s="219"/>
      <c r="H143" s="215"/>
    </row>
    <row r="144" spans="1:8" s="214" customFormat="1" ht="18">
      <c r="A144" s="219"/>
      <c r="B144" s="219"/>
      <c r="C144" s="219"/>
      <c r="D144" s="219"/>
      <c r="E144" s="219"/>
      <c r="F144" s="219"/>
      <c r="G144" s="219"/>
      <c r="H144" s="215"/>
    </row>
    <row r="145" spans="1:8" s="214" customFormat="1" ht="18">
      <c r="A145" s="219"/>
      <c r="B145" s="219"/>
      <c r="C145" s="219"/>
      <c r="D145" s="219"/>
      <c r="E145" s="219"/>
      <c r="F145" s="219"/>
      <c r="G145" s="219"/>
      <c r="H145" s="215"/>
    </row>
    <row r="146" spans="1:8" s="214" customFormat="1" ht="18">
      <c r="A146" s="219"/>
      <c r="B146" s="219"/>
      <c r="C146" s="219"/>
      <c r="D146" s="219"/>
      <c r="E146" s="219"/>
      <c r="F146" s="219"/>
      <c r="G146" s="219"/>
      <c r="H146" s="215"/>
    </row>
    <row r="147" spans="1:8" s="214" customFormat="1" ht="18">
      <c r="A147" s="219"/>
      <c r="B147" s="219"/>
      <c r="C147" s="219"/>
      <c r="D147" s="219"/>
      <c r="E147" s="219"/>
      <c r="F147" s="219"/>
      <c r="G147" s="219"/>
      <c r="H147" s="215"/>
    </row>
    <row r="148" spans="1:8" s="214" customFormat="1" ht="18">
      <c r="A148" s="219"/>
      <c r="B148" s="219"/>
      <c r="C148" s="219"/>
      <c r="D148" s="219"/>
      <c r="E148" s="219"/>
      <c r="F148" s="219"/>
      <c r="G148" s="219"/>
      <c r="H148" s="215"/>
    </row>
    <row r="149" spans="1:8" s="214" customFormat="1" ht="18">
      <c r="A149" s="219"/>
      <c r="B149" s="219"/>
      <c r="C149" s="219"/>
      <c r="D149" s="219"/>
      <c r="E149" s="219"/>
      <c r="F149" s="219"/>
      <c r="G149" s="219"/>
      <c r="H149" s="215"/>
    </row>
    <row r="150" spans="1:8" s="214" customFormat="1" ht="18">
      <c r="A150" s="219"/>
      <c r="B150" s="219"/>
      <c r="C150" s="219"/>
      <c r="D150" s="219"/>
      <c r="E150" s="219"/>
      <c r="F150" s="219"/>
      <c r="G150" s="219"/>
      <c r="H150" s="215"/>
    </row>
    <row r="151" spans="1:8" s="214" customFormat="1" ht="18">
      <c r="A151" s="219"/>
      <c r="B151" s="219"/>
      <c r="C151" s="219"/>
      <c r="D151" s="219"/>
      <c r="E151" s="219"/>
      <c r="F151" s="219"/>
      <c r="G151" s="219"/>
      <c r="H151" s="215"/>
    </row>
    <row r="152" spans="1:8" s="214" customFormat="1" ht="18">
      <c r="A152" s="219"/>
      <c r="B152" s="219"/>
      <c r="C152" s="219"/>
      <c r="D152" s="219"/>
      <c r="E152" s="219"/>
      <c r="F152" s="219"/>
      <c r="G152" s="219"/>
      <c r="H152" s="215"/>
    </row>
    <row r="153" spans="1:8" s="214" customFormat="1" ht="18">
      <c r="A153" s="219"/>
      <c r="B153" s="219"/>
      <c r="C153" s="219"/>
      <c r="D153" s="219"/>
      <c r="E153" s="219"/>
      <c r="F153" s="219"/>
      <c r="G153" s="219"/>
      <c r="H153" s="215"/>
    </row>
    <row r="154" spans="1:8" s="214" customFormat="1" ht="18">
      <c r="A154" s="219"/>
      <c r="B154" s="219"/>
      <c r="C154" s="219"/>
      <c r="D154" s="219"/>
      <c r="E154" s="219"/>
      <c r="F154" s="219"/>
      <c r="G154" s="219"/>
      <c r="H154" s="215"/>
    </row>
    <row r="155" spans="1:8" s="214" customFormat="1" ht="18">
      <c r="A155" s="219"/>
      <c r="B155" s="219"/>
      <c r="C155" s="219"/>
      <c r="D155" s="219"/>
      <c r="E155" s="219"/>
      <c r="F155" s="219"/>
      <c r="G155" s="219"/>
      <c r="H155" s="215"/>
    </row>
    <row r="156" spans="1:8" s="214" customFormat="1" ht="18">
      <c r="A156" s="219"/>
      <c r="B156" s="219"/>
      <c r="C156" s="219"/>
      <c r="D156" s="219"/>
      <c r="E156" s="219"/>
      <c r="F156" s="219"/>
      <c r="G156" s="219"/>
      <c r="H156" s="215"/>
    </row>
    <row r="157" spans="1:8" s="214" customFormat="1" ht="18">
      <c r="A157" s="219"/>
      <c r="B157" s="219"/>
      <c r="C157" s="219"/>
      <c r="D157" s="219"/>
      <c r="E157" s="219"/>
      <c r="F157" s="219"/>
      <c r="G157" s="219"/>
      <c r="H157" s="215"/>
    </row>
    <row r="158" spans="1:8" s="214" customFormat="1" ht="18">
      <c r="A158" s="219"/>
      <c r="B158" s="219"/>
      <c r="C158" s="219"/>
      <c r="D158" s="219"/>
      <c r="E158" s="219"/>
      <c r="F158" s="219"/>
      <c r="G158" s="219"/>
      <c r="H158" s="215"/>
    </row>
    <row r="159" spans="1:8" s="214" customFormat="1" ht="18">
      <c r="A159" s="219"/>
      <c r="B159" s="219"/>
      <c r="C159" s="219"/>
      <c r="D159" s="219"/>
      <c r="E159" s="219"/>
      <c r="F159" s="219"/>
      <c r="G159" s="219"/>
      <c r="H159" s="215"/>
    </row>
    <row r="160" spans="1:8" s="214" customFormat="1" ht="18">
      <c r="A160" s="219"/>
      <c r="B160" s="219"/>
      <c r="C160" s="219"/>
      <c r="D160" s="219"/>
      <c r="E160" s="219"/>
      <c r="F160" s="219"/>
      <c r="G160" s="219"/>
      <c r="H160" s="215"/>
    </row>
    <row r="161" spans="1:8" s="214" customFormat="1" ht="18">
      <c r="A161" s="219"/>
      <c r="B161" s="219"/>
      <c r="C161" s="219"/>
      <c r="D161" s="219"/>
      <c r="E161" s="219"/>
      <c r="F161" s="219"/>
      <c r="G161" s="219"/>
      <c r="H161" s="215"/>
    </row>
    <row r="162" spans="1:8" s="214" customFormat="1" ht="18">
      <c r="A162" s="219"/>
      <c r="B162" s="219"/>
      <c r="C162" s="219"/>
      <c r="D162" s="219"/>
      <c r="E162" s="219"/>
      <c r="F162" s="219"/>
      <c r="G162" s="219"/>
      <c r="H162" s="215"/>
    </row>
    <row r="163" spans="1:8" s="214" customFormat="1" ht="18">
      <c r="A163" s="219"/>
      <c r="B163" s="219"/>
      <c r="C163" s="219"/>
      <c r="D163" s="219"/>
      <c r="E163" s="219"/>
      <c r="F163" s="219"/>
      <c r="G163" s="219"/>
      <c r="H163" s="215"/>
    </row>
    <row r="164" spans="1:8" s="214" customFormat="1" ht="18">
      <c r="A164" s="219"/>
      <c r="B164" s="219"/>
      <c r="C164" s="219"/>
      <c r="D164" s="219"/>
      <c r="E164" s="219"/>
      <c r="F164" s="219"/>
      <c r="G164" s="219"/>
      <c r="H164" s="215"/>
    </row>
    <row r="165" spans="1:8" s="214" customFormat="1" ht="18">
      <c r="A165" s="219"/>
      <c r="B165" s="219"/>
      <c r="C165" s="219"/>
      <c r="D165" s="219"/>
      <c r="E165" s="219"/>
      <c r="F165" s="219"/>
      <c r="G165" s="219"/>
      <c r="H165" s="215"/>
    </row>
    <row r="166" spans="1:8" s="214" customFormat="1" ht="18">
      <c r="A166" s="219"/>
      <c r="B166" s="219"/>
      <c r="C166" s="219"/>
      <c r="D166" s="219"/>
      <c r="E166" s="219"/>
      <c r="F166" s="219"/>
      <c r="G166" s="219"/>
      <c r="H166" s="215"/>
    </row>
    <row r="167" spans="1:8" s="214" customFormat="1" ht="18">
      <c r="A167" s="219"/>
      <c r="B167" s="219"/>
      <c r="C167" s="219"/>
      <c r="D167" s="219"/>
      <c r="E167" s="219"/>
      <c r="F167" s="219"/>
      <c r="G167" s="219"/>
      <c r="H167" s="215"/>
    </row>
    <row r="168" spans="1:8" s="214" customFormat="1" ht="18">
      <c r="A168" s="219"/>
      <c r="B168" s="219"/>
      <c r="C168" s="219"/>
      <c r="D168" s="219"/>
      <c r="E168" s="219"/>
      <c r="F168" s="219"/>
      <c r="G168" s="219"/>
      <c r="H168" s="215"/>
    </row>
    <row r="169" spans="1:8" s="214" customFormat="1" ht="18">
      <c r="A169" s="219"/>
      <c r="B169" s="219"/>
      <c r="C169" s="219"/>
      <c r="D169" s="219"/>
      <c r="E169" s="219"/>
      <c r="F169" s="219"/>
      <c r="G169" s="219"/>
      <c r="H169" s="215"/>
    </row>
    <row r="170" spans="1:8" s="214" customFormat="1" ht="18">
      <c r="A170" s="219"/>
      <c r="B170" s="219"/>
      <c r="C170" s="219"/>
      <c r="D170" s="219"/>
      <c r="E170" s="219"/>
      <c r="F170" s="219"/>
      <c r="G170" s="219"/>
      <c r="H170" s="215"/>
    </row>
    <row r="171" spans="1:8" s="214" customFormat="1" ht="18">
      <c r="A171" s="219"/>
      <c r="B171" s="219"/>
      <c r="C171" s="219"/>
      <c r="D171" s="219"/>
      <c r="E171" s="219"/>
      <c r="F171" s="219"/>
      <c r="G171" s="219"/>
      <c r="H171" s="215"/>
    </row>
    <row r="172" spans="1:8" s="214" customFormat="1" ht="18">
      <c r="A172" s="219"/>
      <c r="B172" s="219"/>
      <c r="C172" s="219"/>
      <c r="D172" s="219"/>
      <c r="E172" s="219"/>
      <c r="F172" s="219"/>
      <c r="G172" s="219"/>
      <c r="H172" s="215"/>
    </row>
    <row r="173" spans="1:8" s="214" customFormat="1" ht="18">
      <c r="A173" s="219"/>
      <c r="B173" s="219"/>
      <c r="C173" s="219"/>
      <c r="D173" s="219"/>
      <c r="E173" s="219"/>
      <c r="F173" s="219"/>
      <c r="G173" s="219"/>
      <c r="H173" s="215"/>
    </row>
    <row r="174" spans="1:8" s="214" customFormat="1" ht="18">
      <c r="A174" s="219"/>
      <c r="B174" s="219"/>
      <c r="C174" s="219"/>
      <c r="D174" s="219"/>
      <c r="E174" s="219"/>
      <c r="F174" s="219"/>
      <c r="G174" s="219"/>
      <c r="H174" s="215"/>
    </row>
    <row r="175" spans="1:8" s="214" customFormat="1" ht="18">
      <c r="A175" s="219"/>
      <c r="B175" s="219"/>
      <c r="C175" s="219"/>
      <c r="D175" s="219"/>
      <c r="E175" s="219"/>
      <c r="F175" s="219"/>
      <c r="G175" s="219"/>
      <c r="H175" s="215"/>
    </row>
    <row r="176" spans="1:8" s="214" customFormat="1" ht="18">
      <c r="A176" s="219"/>
      <c r="B176" s="219"/>
      <c r="C176" s="219"/>
      <c r="D176" s="219"/>
      <c r="E176" s="219"/>
      <c r="F176" s="219"/>
      <c r="G176" s="219"/>
      <c r="H176" s="215"/>
    </row>
    <row r="177" spans="1:8" s="214" customFormat="1" ht="18">
      <c r="A177" s="219"/>
      <c r="B177" s="219"/>
      <c r="C177" s="219"/>
      <c r="D177" s="219"/>
      <c r="E177" s="219"/>
      <c r="F177" s="219"/>
      <c r="G177" s="219"/>
      <c r="H177" s="215"/>
    </row>
    <row r="178" spans="1:8" s="214" customFormat="1" ht="18">
      <c r="A178" s="219"/>
      <c r="B178" s="219"/>
      <c r="C178" s="219"/>
      <c r="D178" s="219"/>
      <c r="E178" s="219"/>
      <c r="F178" s="219"/>
      <c r="G178" s="219"/>
      <c r="H178" s="215"/>
    </row>
    <row r="179" spans="1:8" s="214" customFormat="1" ht="18">
      <c r="A179" s="219"/>
      <c r="B179" s="219"/>
      <c r="C179" s="219"/>
      <c r="D179" s="219"/>
      <c r="E179" s="219"/>
      <c r="F179" s="219"/>
      <c r="G179" s="219"/>
      <c r="H179" s="215"/>
    </row>
    <row r="180" spans="1:8" s="214" customFormat="1" ht="18">
      <c r="A180" s="219"/>
      <c r="B180" s="219"/>
      <c r="C180" s="219"/>
      <c r="D180" s="219"/>
      <c r="E180" s="219"/>
      <c r="F180" s="219"/>
      <c r="G180" s="219"/>
      <c r="H180" s="215"/>
    </row>
    <row r="181" spans="1:8" s="214" customFormat="1" ht="18">
      <c r="A181" s="219"/>
      <c r="B181" s="219"/>
      <c r="C181" s="219"/>
      <c r="D181" s="219"/>
      <c r="E181" s="219"/>
      <c r="F181" s="219"/>
      <c r="G181" s="219"/>
      <c r="H181" s="215"/>
    </row>
    <row r="182" spans="1:8" s="214" customFormat="1" ht="18">
      <c r="A182" s="219"/>
      <c r="B182" s="219"/>
      <c r="C182" s="219"/>
      <c r="D182" s="219"/>
      <c r="E182" s="219"/>
      <c r="F182" s="219"/>
      <c r="G182" s="219"/>
      <c r="H182" s="215"/>
    </row>
    <row r="183" spans="1:8" s="214" customFormat="1" ht="18">
      <c r="A183" s="219"/>
      <c r="B183" s="219"/>
      <c r="C183" s="219"/>
      <c r="D183" s="219"/>
      <c r="E183" s="219"/>
      <c r="F183" s="219"/>
      <c r="G183" s="219"/>
      <c r="H183" s="215"/>
    </row>
    <row r="184" spans="1:8" s="214" customFormat="1" ht="18">
      <c r="A184" s="219"/>
      <c r="B184" s="219"/>
      <c r="C184" s="219"/>
      <c r="D184" s="219"/>
      <c r="E184" s="219"/>
      <c r="F184" s="219"/>
      <c r="G184" s="219"/>
      <c r="H184" s="215"/>
    </row>
    <row r="185" spans="1:8" s="214" customFormat="1" ht="18">
      <c r="A185" s="219"/>
      <c r="B185" s="219"/>
      <c r="C185" s="219"/>
      <c r="D185" s="219"/>
      <c r="E185" s="219"/>
      <c r="F185" s="219"/>
      <c r="G185" s="219"/>
      <c r="H185" s="215"/>
    </row>
    <row r="186" spans="1:8" s="214" customFormat="1" ht="18">
      <c r="A186" s="219"/>
      <c r="B186" s="219"/>
      <c r="C186" s="219"/>
      <c r="D186" s="219"/>
      <c r="E186" s="219"/>
      <c r="F186" s="219"/>
      <c r="G186" s="219"/>
      <c r="H186" s="215"/>
    </row>
    <row r="187" spans="1:8" s="214" customFormat="1" ht="18">
      <c r="A187" s="219"/>
      <c r="B187" s="219"/>
      <c r="C187" s="219"/>
      <c r="D187" s="219"/>
      <c r="E187" s="219"/>
      <c r="F187" s="219"/>
      <c r="G187" s="219"/>
      <c r="H187" s="215"/>
    </row>
    <row r="188" spans="1:8" s="214" customFormat="1" ht="18">
      <c r="A188" s="219"/>
      <c r="B188" s="219"/>
      <c r="C188" s="219"/>
      <c r="D188" s="219"/>
      <c r="E188" s="219"/>
      <c r="F188" s="219"/>
      <c r="G188" s="219"/>
      <c r="H188" s="215"/>
    </row>
    <row r="189" spans="1:8" s="214" customFormat="1" ht="18">
      <c r="A189" s="219"/>
      <c r="B189" s="219"/>
      <c r="C189" s="219"/>
      <c r="D189" s="219"/>
      <c r="E189" s="219"/>
      <c r="F189" s="219"/>
      <c r="G189" s="219"/>
      <c r="H189" s="215"/>
    </row>
    <row r="190" spans="1:8" s="214" customFormat="1" ht="18">
      <c r="A190" s="219"/>
      <c r="B190" s="219"/>
      <c r="C190" s="219"/>
      <c r="D190" s="219"/>
      <c r="E190" s="219"/>
      <c r="F190" s="219"/>
      <c r="G190" s="219"/>
      <c r="H190" s="215"/>
    </row>
    <row r="191" spans="1:8" s="214" customFormat="1" ht="18">
      <c r="A191" s="219"/>
      <c r="B191" s="219"/>
      <c r="C191" s="219"/>
      <c r="D191" s="219"/>
      <c r="E191" s="219"/>
      <c r="F191" s="219"/>
      <c r="G191" s="219"/>
      <c r="H191" s="215"/>
    </row>
    <row r="192" spans="1:8" s="214" customFormat="1" ht="18">
      <c r="A192" s="219"/>
      <c r="B192" s="219"/>
      <c r="C192" s="219"/>
      <c r="D192" s="219"/>
      <c r="E192" s="219"/>
      <c r="F192" s="219"/>
      <c r="G192" s="219"/>
      <c r="H192" s="215"/>
    </row>
    <row r="193" spans="1:8" s="214" customFormat="1" ht="18">
      <c r="A193" s="219"/>
      <c r="B193" s="219"/>
      <c r="C193" s="219"/>
      <c r="D193" s="219"/>
      <c r="E193" s="219"/>
      <c r="F193" s="219"/>
      <c r="G193" s="219"/>
      <c r="H193" s="215"/>
    </row>
    <row r="194" spans="1:8" s="214" customFormat="1" ht="18">
      <c r="A194" s="219"/>
      <c r="B194" s="219"/>
      <c r="C194" s="219"/>
      <c r="D194" s="219"/>
      <c r="E194" s="219"/>
      <c r="F194" s="219"/>
      <c r="G194" s="219"/>
      <c r="H194" s="215"/>
    </row>
    <row r="195" spans="1:8" s="214" customFormat="1" ht="18">
      <c r="A195" s="219"/>
      <c r="B195" s="219"/>
      <c r="C195" s="219"/>
      <c r="D195" s="219"/>
      <c r="E195" s="219"/>
      <c r="F195" s="219"/>
      <c r="G195" s="219"/>
      <c r="H195" s="215"/>
    </row>
    <row r="196" spans="1:8" s="214" customFormat="1" ht="18">
      <c r="A196" s="219"/>
      <c r="B196" s="219"/>
      <c r="C196" s="219"/>
      <c r="D196" s="219"/>
      <c r="E196" s="219"/>
      <c r="F196" s="219"/>
      <c r="G196" s="219"/>
      <c r="H196" s="215"/>
    </row>
    <row r="197" spans="1:8" s="214" customFormat="1" ht="18">
      <c r="A197" s="219"/>
      <c r="B197" s="219"/>
      <c r="C197" s="219"/>
      <c r="D197" s="219"/>
      <c r="E197" s="219"/>
      <c r="F197" s="219"/>
      <c r="G197" s="219"/>
      <c r="H197" s="215"/>
    </row>
    <row r="198" spans="1:8" s="214" customFormat="1" ht="18">
      <c r="A198" s="219"/>
      <c r="B198" s="219"/>
      <c r="C198" s="219"/>
      <c r="D198" s="219"/>
      <c r="E198" s="219"/>
      <c r="F198" s="219"/>
      <c r="G198" s="219"/>
      <c r="H198" s="215"/>
    </row>
    <row r="199" spans="1:8" s="214" customFormat="1" ht="18">
      <c r="A199" s="219"/>
      <c r="B199" s="219"/>
      <c r="C199" s="219"/>
      <c r="D199" s="219"/>
      <c r="E199" s="219"/>
      <c r="F199" s="219"/>
      <c r="G199" s="219"/>
      <c r="H199" s="215"/>
    </row>
    <row r="200" spans="1:8" s="214" customFormat="1" ht="18">
      <c r="A200" s="219"/>
      <c r="B200" s="219"/>
      <c r="C200" s="219"/>
      <c r="D200" s="219"/>
      <c r="E200" s="219"/>
      <c r="F200" s="219"/>
      <c r="G200" s="219"/>
      <c r="H200" s="215"/>
    </row>
    <row r="201" spans="1:8" s="214" customFormat="1" ht="18">
      <c r="A201" s="219"/>
      <c r="B201" s="219"/>
      <c r="C201" s="219"/>
      <c r="D201" s="219"/>
      <c r="E201" s="219"/>
      <c r="F201" s="219"/>
      <c r="G201" s="219"/>
      <c r="H201" s="215"/>
    </row>
    <row r="204" s="214" customFormat="1" ht="18"/>
    <row r="211" s="214" customFormat="1" ht="18"/>
    <row r="216" s="214" customFormat="1" ht="18">
      <c r="B216" s="190"/>
    </row>
    <row r="221" s="214" customFormat="1" ht="18">
      <c r="B221" s="190"/>
    </row>
    <row r="222" ht="18">
      <c r="A222" s="216"/>
    </row>
    <row r="223" ht="18">
      <c r="A223" s="216"/>
    </row>
    <row r="224" ht="18">
      <c r="A224" s="216"/>
    </row>
  </sheetData>
  <sheetProtection password="83AF" sheet="1" objects="1" scenarios="1" selectLockedCells="1" selectUnlockedCells="1"/>
  <printOptions horizontalCentered="1"/>
  <pageMargins left="0.5" right="0.5" top="1.25" bottom="0.75" header="0.75" footer="0.5"/>
  <pageSetup cellComments="asDisplayed" horizontalDpi="600" verticalDpi="600" orientation="portrait" r:id="rId2"/>
  <headerFooter alignWithMargins="0">
    <oddHeader>&amp;L&amp;"Trebuchet MS,Regular"Calibration of LPG Provers&amp;R&amp;"Trebuchet MS,Regular"WAMRF-014, Rev. 29, 10/22/2014</oddHeader>
    <oddFooter>&amp;L&amp;"Trebuchet MS,Regular"&amp;F&amp;R&amp;"Trebuchet MS,Regular"&amp;A Worksheet Page &amp;P of &amp;N</oddFooter>
  </headerFooter>
  <tableParts>
    <tablePart r:id="rId1"/>
  </tableParts>
</worksheet>
</file>

<file path=xl/worksheets/sheet3.xml><?xml version="1.0" encoding="utf-8"?>
<worksheet xmlns="http://schemas.openxmlformats.org/spreadsheetml/2006/main" xmlns:r="http://schemas.openxmlformats.org/officeDocument/2006/relationships">
  <sheetPr>
    <tabColor rgb="FFC00000"/>
  </sheetPr>
  <dimension ref="A1:A1"/>
  <sheetViews>
    <sheetView showGridLines="0" zoomScalePageLayoutView="0" workbookViewId="0" topLeftCell="A1">
      <selection activeCell="A1" sqref="A1"/>
    </sheetView>
  </sheetViews>
  <sheetFormatPr defaultColWidth="0" defaultRowHeight="15.75" zeroHeight="1"/>
  <cols>
    <col min="1" max="1" width="3.77734375" style="0" customWidth="1"/>
    <col min="2" max="9" width="9.21484375" style="0" customWidth="1"/>
    <col min="10" max="16384" width="9.21484375" style="0" hidden="1" customWidth="1"/>
  </cols>
  <sheetData>
    <row r="1" ht="15.75"/>
    <row r="2" ht="15.75"/>
    <row r="3" ht="15.75"/>
    <row r="4" ht="15.75"/>
    <row r="5" ht="15.75"/>
    <row r="6" ht="15.75"/>
    <row r="7" ht="15.75"/>
    <row r="8" ht="15.75"/>
    <row r="9" ht="15.75"/>
    <row r="10" ht="15.75"/>
    <row r="11" ht="15.75"/>
    <row r="12" ht="15.75"/>
    <row r="13" ht="15.75"/>
    <row r="14" ht="15.75"/>
    <row r="15" ht="15.75"/>
    <row r="16" ht="15.75"/>
    <row r="17" ht="15.75"/>
    <row r="18" ht="15.75"/>
    <row r="19" ht="15.75"/>
    <row r="20" ht="15.75"/>
    <row r="21" ht="15.75"/>
    <row r="22" ht="15.75"/>
    <row r="23" ht="15.75"/>
    <row r="24" ht="15.75"/>
    <row r="25" ht="15.75"/>
    <row r="26" ht="15.75"/>
    <row r="27" ht="15.75"/>
    <row r="28" ht="15.75"/>
    <row r="29" ht="15.75"/>
    <row r="30" ht="15.75"/>
    <row r="31" ht="15.75"/>
    <row r="32" ht="15.75"/>
    <row r="33" ht="15.75"/>
    <row r="34" ht="15.75"/>
    <row r="35" ht="15.75"/>
    <row r="36" ht="15.75"/>
    <row r="37" ht="15.75"/>
    <row r="38" ht="15.75"/>
    <row r="39" ht="15.75"/>
  </sheetData>
  <sheetProtection password="83AF" sheet="1" objects="1" scenarios="1"/>
  <printOptions horizontalCentered="1"/>
  <pageMargins left="0.5" right="0.5" top="1.25" bottom="0.75" header="0.75" footer="0.5"/>
  <pageSetup cellComments="asDisplayed" horizontalDpi="600" verticalDpi="600" orientation="portrait" r:id="rId5"/>
  <headerFooter alignWithMargins="0">
    <oddHeader>&amp;L&amp;"Trebuchet MS,Regular"Calibration of LPG Provers&amp;R&amp;"Trebuchet MS,Regular"WAMRF-014, Rev. 29, 10/22/2014</oddHeader>
    <oddFooter>&amp;L&amp;"Trebuchet MS,Regular"&amp;F&amp;R&amp;"Trebuchet MS,Regular"&amp;A Worksheet Page &amp;P of &amp;N</oddFooter>
  </headerFooter>
  <drawing r:id="rId4"/>
  <legacyDrawing r:id="rId3"/>
  <oleObjects>
    <oleObject progId="Acrobat Document" shapeId="705691" r:id="rId2"/>
  </oleObjects>
</worksheet>
</file>

<file path=xl/worksheets/sheet4.xml><?xml version="1.0" encoding="utf-8"?>
<worksheet xmlns="http://schemas.openxmlformats.org/spreadsheetml/2006/main" xmlns:r="http://schemas.openxmlformats.org/officeDocument/2006/relationships">
  <sheetPr>
    <tabColor rgb="FF00B0F0"/>
  </sheetPr>
  <dimension ref="A1:G204"/>
  <sheetViews>
    <sheetView showGridLines="0" showZeros="0" tabSelected="1" showOutlineSymbols="0" zoomScalePageLayoutView="0" workbookViewId="0" topLeftCell="A1">
      <selection activeCell="A1" sqref="A1:B1"/>
    </sheetView>
  </sheetViews>
  <sheetFormatPr defaultColWidth="0" defaultRowHeight="15.75"/>
  <cols>
    <col min="1" max="1" width="14.99609375" style="214" customWidth="1"/>
    <col min="2" max="2" width="60.21484375" style="190" customWidth="1"/>
    <col min="3" max="3" width="3.77734375" style="190" customWidth="1"/>
    <col min="4" max="7" width="9.77734375" style="190" hidden="1" customWidth="1"/>
    <col min="8" max="9" width="9.21484375" style="190" hidden="1" customWidth="1"/>
    <col min="10" max="16384" width="8.88671875" style="190" hidden="1" customWidth="1"/>
  </cols>
  <sheetData>
    <row r="1" spans="1:6" s="214" customFormat="1" ht="20.25" thickBot="1">
      <c r="A1" s="598" t="s">
        <v>331</v>
      </c>
      <c r="B1" s="598"/>
      <c r="C1" s="219"/>
      <c r="D1" s="219"/>
      <c r="E1" s="219"/>
      <c r="F1" s="219"/>
    </row>
    <row r="2" spans="1:7" s="214" customFormat="1" ht="18">
      <c r="A2" s="222" t="s">
        <v>251</v>
      </c>
      <c r="B2" s="243" t="s">
        <v>8</v>
      </c>
      <c r="C2" s="219"/>
      <c r="D2" s="219"/>
      <c r="E2" s="219"/>
      <c r="F2" s="219"/>
      <c r="G2" s="215"/>
    </row>
    <row r="3" spans="1:7" s="214" customFormat="1" ht="18">
      <c r="A3" s="245">
        <v>1</v>
      </c>
      <c r="B3" s="246" t="s">
        <v>314</v>
      </c>
      <c r="C3" s="219"/>
      <c r="D3" s="219"/>
      <c r="E3" s="219"/>
      <c r="F3" s="219"/>
      <c r="G3" s="215"/>
    </row>
    <row r="4" spans="1:7" s="214" customFormat="1" ht="54">
      <c r="A4" s="245">
        <v>2</v>
      </c>
      <c r="B4" s="246" t="s">
        <v>759</v>
      </c>
      <c r="C4" s="219"/>
      <c r="D4" s="219"/>
      <c r="E4" s="219"/>
      <c r="F4" s="219"/>
      <c r="G4" s="215"/>
    </row>
    <row r="5" spans="1:6" s="214" customFormat="1" ht="18">
      <c r="A5" s="245">
        <v>3</v>
      </c>
      <c r="B5" s="246" t="s">
        <v>315</v>
      </c>
      <c r="C5" s="219"/>
      <c r="D5" s="219"/>
      <c r="E5" s="219"/>
      <c r="F5" s="219"/>
    </row>
    <row r="6" spans="1:7" s="214" customFormat="1" ht="36">
      <c r="A6" s="245">
        <v>4</v>
      </c>
      <c r="B6" s="246" t="s">
        <v>760</v>
      </c>
      <c r="C6" s="219"/>
      <c r="D6" s="219"/>
      <c r="E6" s="219"/>
      <c r="F6" s="219"/>
      <c r="G6" s="215"/>
    </row>
    <row r="7" spans="1:7" s="214" customFormat="1" ht="54">
      <c r="A7" s="247">
        <v>5</v>
      </c>
      <c r="B7" s="546" t="s">
        <v>761</v>
      </c>
      <c r="C7" s="219"/>
      <c r="D7" s="219"/>
      <c r="E7" s="219"/>
      <c r="F7" s="219"/>
      <c r="G7" s="215"/>
    </row>
    <row r="8" spans="1:7" s="214" customFormat="1" ht="19.5">
      <c r="A8" s="597" t="s">
        <v>250</v>
      </c>
      <c r="B8" s="597"/>
      <c r="C8" s="219"/>
      <c r="D8" s="219"/>
      <c r="E8" s="219"/>
      <c r="F8" s="219"/>
      <c r="G8" s="215"/>
    </row>
    <row r="9" spans="1:7" s="214" customFormat="1" ht="18">
      <c r="A9" s="243" t="s">
        <v>212</v>
      </c>
      <c r="B9" s="243" t="s">
        <v>8</v>
      </c>
      <c r="C9" s="219"/>
      <c r="D9" s="219"/>
      <c r="E9" s="219"/>
      <c r="F9" s="219"/>
      <c r="G9" s="215"/>
    </row>
    <row r="10" spans="1:7" s="214" customFormat="1" ht="18">
      <c r="A10" s="244" t="s">
        <v>254</v>
      </c>
      <c r="B10" s="221" t="s">
        <v>670</v>
      </c>
      <c r="C10" s="219"/>
      <c r="D10" s="219"/>
      <c r="E10" s="219"/>
      <c r="F10" s="219"/>
      <c r="G10" s="215"/>
    </row>
    <row r="11" spans="1:7" s="214" customFormat="1" ht="18">
      <c r="A11" s="244" t="s">
        <v>255</v>
      </c>
      <c r="B11" s="221" t="s">
        <v>671</v>
      </c>
      <c r="C11" s="219"/>
      <c r="D11" s="219"/>
      <c r="E11" s="219"/>
      <c r="F11" s="219"/>
      <c r="G11" s="215"/>
    </row>
    <row r="12" spans="1:7" s="214" customFormat="1" ht="18">
      <c r="A12" s="244" t="s">
        <v>256</v>
      </c>
      <c r="B12" s="221" t="s">
        <v>672</v>
      </c>
      <c r="C12" s="219"/>
      <c r="D12" s="219"/>
      <c r="E12" s="219"/>
      <c r="F12" s="219"/>
      <c r="G12" s="215"/>
    </row>
    <row r="13" spans="1:7" s="214" customFormat="1" ht="18">
      <c r="A13" s="244" t="s">
        <v>257</v>
      </c>
      <c r="B13" s="221" t="s">
        <v>673</v>
      </c>
      <c r="C13" s="219"/>
      <c r="D13" s="219"/>
      <c r="E13" s="219"/>
      <c r="F13" s="219"/>
      <c r="G13" s="215"/>
    </row>
    <row r="14" spans="1:7" s="214" customFormat="1" ht="18">
      <c r="A14" s="244" t="s">
        <v>258</v>
      </c>
      <c r="B14" s="221" t="s">
        <v>674</v>
      </c>
      <c r="C14" s="219"/>
      <c r="D14" s="219"/>
      <c r="E14" s="219"/>
      <c r="F14" s="219"/>
      <c r="G14" s="215"/>
    </row>
    <row r="15" spans="1:7" s="214" customFormat="1" ht="18">
      <c r="A15" s="244" t="s">
        <v>259</v>
      </c>
      <c r="B15" s="221" t="s">
        <v>675</v>
      </c>
      <c r="C15" s="219"/>
      <c r="D15" s="219"/>
      <c r="E15" s="219"/>
      <c r="F15" s="219"/>
      <c r="G15" s="215"/>
    </row>
    <row r="16" spans="1:7" s="214" customFormat="1" ht="18">
      <c r="A16" s="244" t="s">
        <v>260</v>
      </c>
      <c r="B16" s="221" t="s">
        <v>676</v>
      </c>
      <c r="C16" s="219"/>
      <c r="D16" s="219"/>
      <c r="E16" s="219"/>
      <c r="F16" s="219"/>
      <c r="G16" s="215"/>
    </row>
    <row r="17" spans="1:7" s="214" customFormat="1" ht="18">
      <c r="A17" s="244" t="s">
        <v>261</v>
      </c>
      <c r="B17" s="221" t="s">
        <v>677</v>
      </c>
      <c r="C17" s="219"/>
      <c r="D17" s="219"/>
      <c r="E17" s="219"/>
      <c r="F17" s="219"/>
      <c r="G17" s="215"/>
    </row>
    <row r="18" spans="1:7" s="214" customFormat="1" ht="18">
      <c r="A18" s="244" t="s">
        <v>262</v>
      </c>
      <c r="B18" s="221" t="s">
        <v>678</v>
      </c>
      <c r="C18" s="219"/>
      <c r="D18" s="219"/>
      <c r="E18" s="219"/>
      <c r="F18" s="219"/>
      <c r="G18" s="215"/>
    </row>
    <row r="19" spans="1:7" s="214" customFormat="1" ht="18">
      <c r="A19" s="244" t="s">
        <v>767</v>
      </c>
      <c r="B19" s="221" t="s">
        <v>768</v>
      </c>
      <c r="C19" s="219"/>
      <c r="D19" s="219"/>
      <c r="E19" s="219"/>
      <c r="F19" s="219"/>
      <c r="G19" s="215"/>
    </row>
    <row r="20" spans="1:7" s="214" customFormat="1" ht="18">
      <c r="A20" s="244" t="s">
        <v>263</v>
      </c>
      <c r="B20" s="221" t="s">
        <v>679</v>
      </c>
      <c r="C20" s="219"/>
      <c r="D20" s="219"/>
      <c r="E20" s="219"/>
      <c r="F20" s="219"/>
      <c r="G20" s="215"/>
    </row>
    <row r="21" spans="1:7" s="214" customFormat="1" ht="18">
      <c r="A21" s="244" t="s">
        <v>264</v>
      </c>
      <c r="B21" s="221" t="s">
        <v>680</v>
      </c>
      <c r="C21" s="219"/>
      <c r="D21" s="219"/>
      <c r="E21" s="219"/>
      <c r="F21" s="219"/>
      <c r="G21" s="215"/>
    </row>
    <row r="22" spans="1:7" s="214" customFormat="1" ht="18">
      <c r="A22" s="244" t="s">
        <v>525</v>
      </c>
      <c r="B22" s="221" t="s">
        <v>440</v>
      </c>
      <c r="C22" s="219"/>
      <c r="D22" s="219"/>
      <c r="E22" s="219"/>
      <c r="F22" s="219"/>
      <c r="G22" s="215"/>
    </row>
    <row r="23" spans="1:7" s="214" customFormat="1" ht="18">
      <c r="A23" s="244" t="s">
        <v>265</v>
      </c>
      <c r="B23" s="221" t="s">
        <v>303</v>
      </c>
      <c r="C23" s="219"/>
      <c r="D23" s="219"/>
      <c r="E23" s="219"/>
      <c r="F23" s="219"/>
      <c r="G23" s="215"/>
    </row>
    <row r="24" spans="1:7" s="214" customFormat="1" ht="18">
      <c r="A24" s="244" t="s">
        <v>267</v>
      </c>
      <c r="B24" s="221" t="s">
        <v>266</v>
      </c>
      <c r="C24" s="219"/>
      <c r="D24" s="219"/>
      <c r="E24" s="219"/>
      <c r="F24" s="219"/>
      <c r="G24" s="215"/>
    </row>
    <row r="25" spans="1:7" s="214" customFormat="1" ht="18">
      <c r="A25" s="244" t="s">
        <v>24</v>
      </c>
      <c r="B25" s="221" t="s">
        <v>681</v>
      </c>
      <c r="C25" s="219"/>
      <c r="D25" s="219"/>
      <c r="E25" s="219"/>
      <c r="F25" s="219"/>
      <c r="G25" s="215"/>
    </row>
    <row r="26" spans="1:7" s="214" customFormat="1" ht="18">
      <c r="A26" s="244" t="s">
        <v>526</v>
      </c>
      <c r="B26" s="221" t="s">
        <v>682</v>
      </c>
      <c r="C26" s="219"/>
      <c r="D26" s="219"/>
      <c r="E26" s="219"/>
      <c r="F26" s="219"/>
      <c r="G26" s="215"/>
    </row>
    <row r="27" spans="1:7" s="214" customFormat="1" ht="18">
      <c r="A27" s="244" t="s">
        <v>527</v>
      </c>
      <c r="B27" s="221" t="s">
        <v>683</v>
      </c>
      <c r="C27" s="219"/>
      <c r="D27" s="219"/>
      <c r="E27" s="219"/>
      <c r="F27" s="219"/>
      <c r="G27" s="215"/>
    </row>
    <row r="28" spans="1:7" s="214" customFormat="1" ht="18">
      <c r="A28" s="244" t="s">
        <v>684</v>
      </c>
      <c r="B28" s="221" t="s">
        <v>685</v>
      </c>
      <c r="C28" s="219"/>
      <c r="D28" s="219"/>
      <c r="E28" s="219"/>
      <c r="F28" s="219"/>
      <c r="G28" s="215"/>
    </row>
    <row r="29" spans="1:7" s="214" customFormat="1" ht="18">
      <c r="A29" s="244" t="s">
        <v>686</v>
      </c>
      <c r="B29" s="221" t="s">
        <v>687</v>
      </c>
      <c r="C29" s="219"/>
      <c r="D29" s="219"/>
      <c r="E29" s="219"/>
      <c r="F29" s="219"/>
      <c r="G29" s="215"/>
    </row>
    <row r="30" spans="1:7" s="214" customFormat="1" ht="18">
      <c r="A30" s="244" t="s">
        <v>506</v>
      </c>
      <c r="B30" s="221" t="s">
        <v>688</v>
      </c>
      <c r="C30" s="219"/>
      <c r="D30" s="219"/>
      <c r="E30" s="219"/>
      <c r="F30" s="219"/>
      <c r="G30" s="215"/>
    </row>
    <row r="31" spans="1:7" s="214" customFormat="1" ht="18">
      <c r="A31" s="244" t="s">
        <v>268</v>
      </c>
      <c r="B31" s="221" t="s">
        <v>689</v>
      </c>
      <c r="C31" s="219"/>
      <c r="D31" s="219"/>
      <c r="E31" s="219"/>
      <c r="F31" s="219"/>
      <c r="G31" s="215"/>
    </row>
    <row r="32" spans="1:7" s="214" customFormat="1" ht="18">
      <c r="A32" s="244" t="s">
        <v>528</v>
      </c>
      <c r="B32" s="221" t="s">
        <v>441</v>
      </c>
      <c r="C32" s="219"/>
      <c r="D32" s="219"/>
      <c r="E32" s="219"/>
      <c r="F32" s="219"/>
      <c r="G32" s="215"/>
    </row>
    <row r="33" spans="1:7" s="214" customFormat="1" ht="18">
      <c r="A33" s="244" t="s">
        <v>269</v>
      </c>
      <c r="B33" s="221" t="s">
        <v>690</v>
      </c>
      <c r="C33" s="219"/>
      <c r="D33" s="219"/>
      <c r="E33" s="219"/>
      <c r="F33" s="219"/>
      <c r="G33" s="215"/>
    </row>
    <row r="34" spans="1:7" s="214" customFormat="1" ht="18">
      <c r="A34" s="244" t="s">
        <v>270</v>
      </c>
      <c r="B34" s="221" t="s">
        <v>691</v>
      </c>
      <c r="C34" s="219"/>
      <c r="D34" s="219"/>
      <c r="E34" s="219"/>
      <c r="F34" s="219"/>
      <c r="G34" s="215"/>
    </row>
    <row r="35" spans="1:7" s="214" customFormat="1" ht="18">
      <c r="A35" s="244" t="s">
        <v>8</v>
      </c>
      <c r="B35" s="221" t="s">
        <v>692</v>
      </c>
      <c r="C35" s="219"/>
      <c r="D35" s="219"/>
      <c r="E35" s="219"/>
      <c r="F35" s="219"/>
      <c r="G35" s="215"/>
    </row>
    <row r="36" spans="1:7" s="214" customFormat="1" ht="18">
      <c r="A36" s="244" t="s">
        <v>160</v>
      </c>
      <c r="B36" s="221" t="s">
        <v>693</v>
      </c>
      <c r="C36" s="219"/>
      <c r="D36" s="219"/>
      <c r="E36" s="219"/>
      <c r="F36" s="219"/>
      <c r="G36" s="215"/>
    </row>
    <row r="37" spans="1:7" s="214" customFormat="1" ht="18">
      <c r="A37" s="244" t="s">
        <v>271</v>
      </c>
      <c r="B37" s="221" t="s">
        <v>694</v>
      </c>
      <c r="C37" s="219"/>
      <c r="D37" s="219"/>
      <c r="E37" s="219"/>
      <c r="F37" s="219"/>
      <c r="G37" s="215"/>
    </row>
    <row r="38" spans="1:7" s="214" customFormat="1" ht="18">
      <c r="A38" s="244" t="s">
        <v>272</v>
      </c>
      <c r="B38" s="221" t="s">
        <v>695</v>
      </c>
      <c r="C38" s="219"/>
      <c r="D38" s="219"/>
      <c r="E38" s="219"/>
      <c r="F38" s="219"/>
      <c r="G38" s="215"/>
    </row>
    <row r="39" spans="1:7" s="214" customFormat="1" ht="18">
      <c r="A39" s="244" t="s">
        <v>273</v>
      </c>
      <c r="B39" s="221" t="s">
        <v>696</v>
      </c>
      <c r="C39" s="219"/>
      <c r="D39" s="219"/>
      <c r="E39" s="219"/>
      <c r="F39" s="219"/>
      <c r="G39" s="215"/>
    </row>
    <row r="40" spans="1:7" s="214" customFormat="1" ht="18">
      <c r="A40" s="244" t="s">
        <v>274</v>
      </c>
      <c r="B40" s="221" t="s">
        <v>697</v>
      </c>
      <c r="C40" s="219"/>
      <c r="D40" s="219"/>
      <c r="E40" s="219"/>
      <c r="F40" s="219"/>
      <c r="G40" s="215"/>
    </row>
    <row r="41" spans="1:7" s="214" customFormat="1" ht="18">
      <c r="A41" s="244" t="s">
        <v>554</v>
      </c>
      <c r="B41" s="221" t="s">
        <v>555</v>
      </c>
      <c r="C41" s="219"/>
      <c r="D41" s="219"/>
      <c r="E41" s="219"/>
      <c r="F41" s="219"/>
      <c r="G41" s="215"/>
    </row>
    <row r="42" spans="1:7" s="214" customFormat="1" ht="18">
      <c r="A42" s="244" t="s">
        <v>698</v>
      </c>
      <c r="B42" s="221" t="s">
        <v>702</v>
      </c>
      <c r="C42" s="219"/>
      <c r="D42" s="219"/>
      <c r="E42" s="219"/>
      <c r="F42" s="219"/>
      <c r="G42" s="215"/>
    </row>
    <row r="43" spans="1:7" s="214" customFormat="1" ht="18">
      <c r="A43" s="244" t="s">
        <v>700</v>
      </c>
      <c r="B43" s="221" t="s">
        <v>699</v>
      </c>
      <c r="C43" s="219"/>
      <c r="D43" s="219"/>
      <c r="E43" s="219"/>
      <c r="F43" s="219"/>
      <c r="G43" s="215"/>
    </row>
    <row r="44" spans="1:7" s="214" customFormat="1" ht="18">
      <c r="A44" s="244" t="s">
        <v>701</v>
      </c>
      <c r="B44" s="221" t="s">
        <v>769</v>
      </c>
      <c r="C44" s="219"/>
      <c r="D44" s="219"/>
      <c r="E44" s="219"/>
      <c r="F44" s="219"/>
      <c r="G44" s="215"/>
    </row>
    <row r="45" spans="1:7" s="214" customFormat="1" ht="18">
      <c r="A45" s="244" t="s">
        <v>703</v>
      </c>
      <c r="B45" s="221" t="s">
        <v>704</v>
      </c>
      <c r="C45" s="219"/>
      <c r="D45" s="219"/>
      <c r="E45" s="219"/>
      <c r="F45" s="219"/>
      <c r="G45" s="215"/>
    </row>
    <row r="46" spans="1:7" s="214" customFormat="1" ht="18">
      <c r="A46" s="244" t="s">
        <v>275</v>
      </c>
      <c r="B46" s="221" t="s">
        <v>705</v>
      </c>
      <c r="C46" s="219"/>
      <c r="D46" s="219"/>
      <c r="E46" s="219"/>
      <c r="F46" s="219"/>
      <c r="G46" s="215"/>
    </row>
    <row r="47" spans="1:7" s="214" customFormat="1" ht="18">
      <c r="A47" s="244" t="s">
        <v>276</v>
      </c>
      <c r="B47" s="221" t="s">
        <v>706</v>
      </c>
      <c r="C47" s="219"/>
      <c r="D47" s="219"/>
      <c r="E47" s="219"/>
      <c r="F47" s="219"/>
      <c r="G47" s="215"/>
    </row>
    <row r="48" spans="1:7" s="214" customFormat="1" ht="18">
      <c r="A48" s="244" t="s">
        <v>277</v>
      </c>
      <c r="B48" s="221" t="s">
        <v>707</v>
      </c>
      <c r="C48" s="219"/>
      <c r="D48" s="219"/>
      <c r="E48" s="219"/>
      <c r="F48" s="219"/>
      <c r="G48" s="215"/>
    </row>
    <row r="49" spans="1:7" s="214" customFormat="1" ht="18">
      <c r="A49" s="244" t="s">
        <v>278</v>
      </c>
      <c r="B49" s="221" t="s">
        <v>708</v>
      </c>
      <c r="C49" s="219"/>
      <c r="D49" s="219"/>
      <c r="E49" s="219"/>
      <c r="F49" s="219"/>
      <c r="G49" s="215"/>
    </row>
    <row r="50" spans="1:7" s="214" customFormat="1" ht="18">
      <c r="A50" s="244" t="s">
        <v>279</v>
      </c>
      <c r="B50" s="221" t="s">
        <v>709</v>
      </c>
      <c r="C50" s="219"/>
      <c r="D50" s="219"/>
      <c r="E50" s="219"/>
      <c r="F50" s="219"/>
      <c r="G50" s="215"/>
    </row>
    <row r="51" spans="1:7" s="214" customFormat="1" ht="18">
      <c r="A51" s="244" t="s">
        <v>442</v>
      </c>
      <c r="B51" s="221" t="s">
        <v>710</v>
      </c>
      <c r="C51" s="219"/>
      <c r="D51" s="219"/>
      <c r="E51" s="219"/>
      <c r="F51" s="219"/>
      <c r="G51" s="215"/>
    </row>
    <row r="52" spans="1:7" s="214" customFormat="1" ht="18">
      <c r="A52" s="244" t="s">
        <v>711</v>
      </c>
      <c r="B52" s="221" t="s">
        <v>755</v>
      </c>
      <c r="C52" s="219"/>
      <c r="D52" s="219"/>
      <c r="E52" s="219"/>
      <c r="F52" s="219"/>
      <c r="G52" s="215"/>
    </row>
    <row r="53" spans="1:7" s="214" customFormat="1" ht="18">
      <c r="A53" s="244" t="s">
        <v>280</v>
      </c>
      <c r="B53" s="221" t="s">
        <v>713</v>
      </c>
      <c r="C53" s="219"/>
      <c r="D53" s="219"/>
      <c r="E53" s="219"/>
      <c r="F53" s="219"/>
      <c r="G53" s="215"/>
    </row>
    <row r="54" spans="1:7" s="214" customFormat="1" ht="18">
      <c r="A54" s="244" t="s">
        <v>281</v>
      </c>
      <c r="B54" s="221" t="s">
        <v>714</v>
      </c>
      <c r="C54" s="219"/>
      <c r="D54" s="219"/>
      <c r="E54" s="219"/>
      <c r="F54" s="219"/>
      <c r="G54" s="215"/>
    </row>
    <row r="55" spans="1:7" s="214" customFormat="1" ht="18">
      <c r="A55" s="244" t="s">
        <v>282</v>
      </c>
      <c r="B55" s="221" t="s">
        <v>715</v>
      </c>
      <c r="C55" s="219"/>
      <c r="D55" s="219"/>
      <c r="E55" s="219"/>
      <c r="F55" s="219"/>
      <c r="G55" s="215"/>
    </row>
    <row r="56" spans="1:7" s="214" customFormat="1" ht="18">
      <c r="A56" s="244" t="s">
        <v>283</v>
      </c>
      <c r="B56" s="221" t="s">
        <v>716</v>
      </c>
      <c r="C56" s="219"/>
      <c r="D56" s="219"/>
      <c r="E56" s="219"/>
      <c r="F56" s="219"/>
      <c r="G56" s="215"/>
    </row>
    <row r="57" spans="1:7" s="214" customFormat="1" ht="18">
      <c r="A57" s="244" t="s">
        <v>489</v>
      </c>
      <c r="B57" s="221" t="s">
        <v>494</v>
      </c>
      <c r="C57" s="219"/>
      <c r="D57" s="219"/>
      <c r="E57" s="219"/>
      <c r="F57" s="219"/>
      <c r="G57" s="215"/>
    </row>
    <row r="58" spans="1:7" s="214" customFormat="1" ht="18">
      <c r="A58" s="244" t="s">
        <v>717</v>
      </c>
      <c r="B58" s="221" t="s">
        <v>718</v>
      </c>
      <c r="C58" s="219"/>
      <c r="D58" s="219"/>
      <c r="E58" s="219"/>
      <c r="F58" s="219"/>
      <c r="G58" s="215"/>
    </row>
    <row r="59" spans="1:7" s="214" customFormat="1" ht="18">
      <c r="A59" s="244" t="s">
        <v>9</v>
      </c>
      <c r="B59" s="221" t="s">
        <v>719</v>
      </c>
      <c r="C59" s="219"/>
      <c r="D59" s="219"/>
      <c r="E59" s="219"/>
      <c r="F59" s="219"/>
      <c r="G59" s="215"/>
    </row>
    <row r="60" spans="1:7" s="214" customFormat="1" ht="18">
      <c r="A60" s="244" t="s">
        <v>529</v>
      </c>
      <c r="B60" s="221" t="s">
        <v>443</v>
      </c>
      <c r="C60" s="219"/>
      <c r="D60" s="219"/>
      <c r="E60" s="219"/>
      <c r="F60" s="219"/>
      <c r="G60" s="215"/>
    </row>
    <row r="61" spans="1:7" s="214" customFormat="1" ht="18">
      <c r="A61" s="244" t="s">
        <v>530</v>
      </c>
      <c r="B61" s="221" t="s">
        <v>712</v>
      </c>
      <c r="C61" s="219"/>
      <c r="D61" s="219"/>
      <c r="E61" s="219"/>
      <c r="F61" s="219"/>
      <c r="G61" s="215"/>
    </row>
    <row r="62" spans="1:7" s="214" customFormat="1" ht="18">
      <c r="A62" s="244" t="s">
        <v>284</v>
      </c>
      <c r="B62" s="221" t="s">
        <v>720</v>
      </c>
      <c r="C62" s="219"/>
      <c r="D62" s="219"/>
      <c r="E62" s="219"/>
      <c r="F62" s="219"/>
      <c r="G62" s="215"/>
    </row>
    <row r="63" spans="1:7" s="214" customFormat="1" ht="18">
      <c r="A63" s="244" t="s">
        <v>285</v>
      </c>
      <c r="B63" s="221" t="s">
        <v>721</v>
      </c>
      <c r="C63" s="219"/>
      <c r="D63" s="219"/>
      <c r="E63" s="219"/>
      <c r="F63" s="219"/>
      <c r="G63" s="215"/>
    </row>
    <row r="64" spans="1:7" s="214" customFormat="1" ht="18">
      <c r="A64" s="244" t="s">
        <v>286</v>
      </c>
      <c r="B64" s="221" t="s">
        <v>722</v>
      </c>
      <c r="C64" s="219"/>
      <c r="D64" s="219"/>
      <c r="E64" s="219"/>
      <c r="F64" s="219"/>
      <c r="G64" s="215"/>
    </row>
    <row r="65" spans="1:7" s="214" customFormat="1" ht="18">
      <c r="A65" s="244" t="s">
        <v>531</v>
      </c>
      <c r="B65" s="221" t="s">
        <v>444</v>
      </c>
      <c r="C65" s="219"/>
      <c r="D65" s="219"/>
      <c r="E65" s="219"/>
      <c r="F65" s="219"/>
      <c r="G65" s="215"/>
    </row>
    <row r="66" spans="1:7" s="214" customFormat="1" ht="18">
      <c r="A66" s="244" t="s">
        <v>287</v>
      </c>
      <c r="B66" s="221" t="s">
        <v>723</v>
      </c>
      <c r="C66" s="219"/>
      <c r="D66" s="219"/>
      <c r="E66" s="219"/>
      <c r="F66" s="219"/>
      <c r="G66" s="215"/>
    </row>
    <row r="67" spans="1:7" s="214" customFormat="1" ht="18">
      <c r="A67" s="244" t="s">
        <v>532</v>
      </c>
      <c r="B67" s="221" t="s">
        <v>724</v>
      </c>
      <c r="C67" s="219"/>
      <c r="D67" s="219"/>
      <c r="E67" s="219"/>
      <c r="F67" s="219"/>
      <c r="G67" s="215"/>
    </row>
    <row r="68" spans="1:7" s="214" customFormat="1" ht="18">
      <c r="A68" s="244" t="s">
        <v>533</v>
      </c>
      <c r="B68" s="221" t="s">
        <v>725</v>
      </c>
      <c r="C68" s="219"/>
      <c r="D68" s="219"/>
      <c r="E68" s="219"/>
      <c r="F68" s="219"/>
      <c r="G68" s="215"/>
    </row>
    <row r="69" spans="1:7" s="214" customFormat="1" ht="18">
      <c r="A69" s="244" t="s">
        <v>534</v>
      </c>
      <c r="B69" s="221" t="s">
        <v>726</v>
      </c>
      <c r="C69" s="219"/>
      <c r="D69" s="219"/>
      <c r="E69" s="219"/>
      <c r="F69" s="219"/>
      <c r="G69" s="215"/>
    </row>
    <row r="70" spans="1:7" s="214" customFormat="1" ht="18">
      <c r="A70" s="244" t="s">
        <v>288</v>
      </c>
      <c r="B70" s="221" t="s">
        <v>727</v>
      </c>
      <c r="C70" s="219"/>
      <c r="D70" s="219"/>
      <c r="E70" s="219"/>
      <c r="F70" s="219"/>
      <c r="G70" s="215"/>
    </row>
    <row r="71" spans="1:7" s="214" customFormat="1" ht="18">
      <c r="A71" s="244" t="s">
        <v>289</v>
      </c>
      <c r="B71" s="221" t="s">
        <v>535</v>
      </c>
      <c r="C71" s="219"/>
      <c r="D71" s="219"/>
      <c r="E71" s="219"/>
      <c r="F71" s="219"/>
      <c r="G71" s="215"/>
    </row>
    <row r="72" spans="1:7" s="214" customFormat="1" ht="18">
      <c r="A72" s="244" t="s">
        <v>290</v>
      </c>
      <c r="B72" s="221" t="s">
        <v>728</v>
      </c>
      <c r="C72" s="219"/>
      <c r="D72" s="219"/>
      <c r="E72" s="219"/>
      <c r="F72" s="219"/>
      <c r="G72" s="215"/>
    </row>
    <row r="73" spans="1:7" s="214" customFormat="1" ht="18">
      <c r="A73" s="244" t="s">
        <v>490</v>
      </c>
      <c r="B73" s="221" t="s">
        <v>729</v>
      </c>
      <c r="C73" s="219"/>
      <c r="D73" s="219"/>
      <c r="E73" s="219"/>
      <c r="F73" s="219"/>
      <c r="G73" s="215"/>
    </row>
    <row r="74" spans="1:7" s="214" customFormat="1" ht="18">
      <c r="A74" s="244" t="s">
        <v>491</v>
      </c>
      <c r="B74" s="221" t="s">
        <v>730</v>
      </c>
      <c r="C74" s="219"/>
      <c r="D74" s="219"/>
      <c r="E74" s="219"/>
      <c r="F74" s="219"/>
      <c r="G74" s="215"/>
    </row>
    <row r="75" spans="1:7" s="214" customFormat="1" ht="18">
      <c r="A75" s="244" t="s">
        <v>536</v>
      </c>
      <c r="B75" s="221" t="s">
        <v>445</v>
      </c>
      <c r="C75" s="219"/>
      <c r="D75" s="219"/>
      <c r="E75" s="219"/>
      <c r="F75" s="219"/>
      <c r="G75" s="215"/>
    </row>
    <row r="76" spans="1:7" s="214" customFormat="1" ht="18">
      <c r="A76" s="244" t="s">
        <v>291</v>
      </c>
      <c r="B76" s="221" t="s">
        <v>731</v>
      </c>
      <c r="C76" s="219"/>
      <c r="D76" s="219"/>
      <c r="E76" s="219"/>
      <c r="F76" s="219"/>
      <c r="G76" s="215"/>
    </row>
    <row r="77" spans="1:7" s="214" customFormat="1" ht="18">
      <c r="A77" s="244" t="s">
        <v>537</v>
      </c>
      <c r="B77" s="221" t="s">
        <v>446</v>
      </c>
      <c r="C77" s="219"/>
      <c r="D77" s="219"/>
      <c r="E77" s="219"/>
      <c r="F77" s="219"/>
      <c r="G77" s="215"/>
    </row>
    <row r="78" spans="1:7" s="214" customFormat="1" ht="18">
      <c r="A78" s="244" t="s">
        <v>292</v>
      </c>
      <c r="B78" s="221" t="s">
        <v>732</v>
      </c>
      <c r="C78" s="219"/>
      <c r="D78" s="219"/>
      <c r="E78" s="219"/>
      <c r="F78" s="219"/>
      <c r="G78" s="215"/>
    </row>
    <row r="79" spans="1:7" s="214" customFormat="1" ht="18">
      <c r="A79" s="244" t="s">
        <v>293</v>
      </c>
      <c r="B79" s="221" t="s">
        <v>727</v>
      </c>
      <c r="C79" s="219"/>
      <c r="D79" s="219"/>
      <c r="E79" s="219"/>
      <c r="F79" s="219"/>
      <c r="G79" s="215"/>
    </row>
    <row r="80" spans="1:7" s="214" customFormat="1" ht="18">
      <c r="A80" s="244" t="s">
        <v>294</v>
      </c>
      <c r="B80" s="221" t="s">
        <v>733</v>
      </c>
      <c r="C80" s="219"/>
      <c r="D80" s="219"/>
      <c r="E80" s="219"/>
      <c r="F80" s="219"/>
      <c r="G80" s="215"/>
    </row>
    <row r="81" spans="1:7" s="214" customFormat="1" ht="18">
      <c r="A81" s="244" t="s">
        <v>538</v>
      </c>
      <c r="B81" s="221" t="s">
        <v>447</v>
      </c>
      <c r="C81" s="219"/>
      <c r="D81" s="219"/>
      <c r="E81" s="219"/>
      <c r="F81" s="219"/>
      <c r="G81" s="215"/>
    </row>
    <row r="82" spans="1:7" s="214" customFormat="1" ht="18">
      <c r="A82" s="244" t="s">
        <v>539</v>
      </c>
      <c r="B82" s="221" t="s">
        <v>734</v>
      </c>
      <c r="C82" s="219"/>
      <c r="D82" s="219"/>
      <c r="E82" s="219"/>
      <c r="F82" s="219"/>
      <c r="G82" s="215"/>
    </row>
    <row r="83" spans="1:7" s="214" customFormat="1" ht="18">
      <c r="A83" s="244" t="s">
        <v>295</v>
      </c>
      <c r="B83" s="221" t="s">
        <v>735</v>
      </c>
      <c r="C83" s="219"/>
      <c r="D83" s="219"/>
      <c r="E83" s="219"/>
      <c r="F83" s="219"/>
      <c r="G83" s="215"/>
    </row>
    <row r="84" spans="1:7" s="214" customFormat="1" ht="18">
      <c r="A84" s="244" t="s">
        <v>296</v>
      </c>
      <c r="B84" s="221" t="s">
        <v>736</v>
      </c>
      <c r="C84" s="219"/>
      <c r="D84" s="219"/>
      <c r="E84" s="219"/>
      <c r="F84" s="219"/>
      <c r="G84" s="215"/>
    </row>
    <row r="85" spans="1:7" s="214" customFormat="1" ht="18">
      <c r="A85" s="244" t="s">
        <v>297</v>
      </c>
      <c r="B85" s="221" t="s">
        <v>737</v>
      </c>
      <c r="C85" s="219"/>
      <c r="D85" s="219"/>
      <c r="E85" s="219"/>
      <c r="F85" s="219"/>
      <c r="G85" s="215"/>
    </row>
    <row r="86" spans="1:7" s="214" customFormat="1" ht="18">
      <c r="A86" s="244" t="s">
        <v>738</v>
      </c>
      <c r="B86" s="221" t="s">
        <v>739</v>
      </c>
      <c r="C86" s="219"/>
      <c r="D86" s="219"/>
      <c r="E86" s="219"/>
      <c r="F86" s="219"/>
      <c r="G86" s="215"/>
    </row>
    <row r="87" spans="1:7" s="214" customFormat="1" ht="18">
      <c r="A87" s="244" t="s">
        <v>740</v>
      </c>
      <c r="B87" s="221" t="s">
        <v>741</v>
      </c>
      <c r="C87" s="219"/>
      <c r="D87" s="219"/>
      <c r="E87" s="219"/>
      <c r="F87" s="219"/>
      <c r="G87" s="215"/>
    </row>
    <row r="88" spans="1:7" s="214" customFormat="1" ht="18">
      <c r="A88" s="244" t="s">
        <v>298</v>
      </c>
      <c r="B88" s="221" t="s">
        <v>742</v>
      </c>
      <c r="C88" s="219"/>
      <c r="D88" s="219"/>
      <c r="E88" s="219"/>
      <c r="F88" s="219"/>
      <c r="G88" s="215"/>
    </row>
    <row r="89" spans="1:7" s="214" customFormat="1" ht="18">
      <c r="A89" s="244" t="s">
        <v>492</v>
      </c>
      <c r="B89" s="221" t="s">
        <v>743</v>
      </c>
      <c r="C89" s="219"/>
      <c r="D89" s="219"/>
      <c r="E89" s="219"/>
      <c r="F89" s="219"/>
      <c r="G89" s="215"/>
    </row>
    <row r="90" spans="1:7" s="214" customFormat="1" ht="18">
      <c r="A90" s="244" t="s">
        <v>493</v>
      </c>
      <c r="B90" s="221" t="s">
        <v>744</v>
      </c>
      <c r="C90" s="219"/>
      <c r="D90" s="219"/>
      <c r="E90" s="219"/>
      <c r="F90" s="219"/>
      <c r="G90" s="215"/>
    </row>
    <row r="91" spans="1:7" s="214" customFormat="1" ht="18">
      <c r="A91" s="244" t="s">
        <v>299</v>
      </c>
      <c r="B91" s="221" t="s">
        <v>745</v>
      </c>
      <c r="C91" s="219"/>
      <c r="D91" s="219"/>
      <c r="E91" s="219"/>
      <c r="F91" s="219"/>
      <c r="G91" s="215"/>
    </row>
    <row r="92" spans="1:7" s="214" customFormat="1" ht="18">
      <c r="A92" s="244" t="s">
        <v>300</v>
      </c>
      <c r="B92" s="221" t="s">
        <v>746</v>
      </c>
      <c r="C92" s="219"/>
      <c r="D92" s="219"/>
      <c r="E92" s="219"/>
      <c r="F92" s="219"/>
      <c r="G92" s="215"/>
    </row>
    <row r="93" spans="1:7" s="214" customFormat="1" ht="18">
      <c r="A93" s="244" t="s">
        <v>301</v>
      </c>
      <c r="B93" s="221" t="s">
        <v>747</v>
      </c>
      <c r="C93" s="219"/>
      <c r="D93" s="219"/>
      <c r="E93" s="219"/>
      <c r="F93" s="219"/>
      <c r="G93" s="215"/>
    </row>
    <row r="94" spans="1:7" s="214" customFormat="1" ht="18">
      <c r="A94" s="244" t="s">
        <v>302</v>
      </c>
      <c r="B94" s="221" t="s">
        <v>448</v>
      </c>
      <c r="C94" s="219"/>
      <c r="D94" s="219"/>
      <c r="E94" s="219"/>
      <c r="F94" s="219"/>
      <c r="G94" s="215"/>
    </row>
    <row r="95" spans="1:7" s="214" customFormat="1" ht="18">
      <c r="A95" s="244" t="s">
        <v>748</v>
      </c>
      <c r="B95" s="221" t="s">
        <v>749</v>
      </c>
      <c r="C95" s="219"/>
      <c r="D95" s="219"/>
      <c r="E95" s="219"/>
      <c r="F95" s="219"/>
      <c r="G95" s="215"/>
    </row>
    <row r="96" spans="1:7" s="214" customFormat="1" ht="18">
      <c r="A96" s="244" t="s">
        <v>540</v>
      </c>
      <c r="B96" s="221" t="s">
        <v>304</v>
      </c>
      <c r="C96" s="219"/>
      <c r="D96" s="219"/>
      <c r="E96" s="219"/>
      <c r="F96" s="219"/>
      <c r="G96" s="215"/>
    </row>
    <row r="97" spans="1:7" s="214" customFormat="1" ht="18">
      <c r="A97" s="244" t="s">
        <v>541</v>
      </c>
      <c r="B97" s="221" t="s">
        <v>305</v>
      </c>
      <c r="C97" s="219"/>
      <c r="D97" s="219"/>
      <c r="E97" s="219"/>
      <c r="F97" s="219"/>
      <c r="G97" s="215"/>
    </row>
    <row r="98" spans="1:7" s="214" customFormat="1" ht="18">
      <c r="A98" s="244" t="s">
        <v>306</v>
      </c>
      <c r="B98" s="221" t="s">
        <v>553</v>
      </c>
      <c r="C98" s="219"/>
      <c r="D98" s="219"/>
      <c r="E98" s="219"/>
      <c r="F98" s="219"/>
      <c r="G98" s="215"/>
    </row>
    <row r="99" spans="1:7" s="214" customFormat="1" ht="18">
      <c r="A99" s="244" t="s">
        <v>307</v>
      </c>
      <c r="B99" s="221" t="s">
        <v>750</v>
      </c>
      <c r="C99" s="219"/>
      <c r="D99" s="219"/>
      <c r="E99" s="219"/>
      <c r="F99" s="219"/>
      <c r="G99" s="215"/>
    </row>
    <row r="100" spans="1:7" s="214" customFormat="1" ht="18">
      <c r="A100" s="244" t="s">
        <v>308</v>
      </c>
      <c r="B100" s="221" t="s">
        <v>751</v>
      </c>
      <c r="C100" s="219"/>
      <c r="D100" s="219"/>
      <c r="E100" s="219"/>
      <c r="F100" s="219"/>
      <c r="G100" s="215"/>
    </row>
    <row r="101" spans="1:7" s="214" customFormat="1" ht="18">
      <c r="A101" s="244" t="s">
        <v>309</v>
      </c>
      <c r="B101" s="221" t="s">
        <v>752</v>
      </c>
      <c r="C101" s="219"/>
      <c r="D101" s="219"/>
      <c r="E101" s="219"/>
      <c r="F101" s="219"/>
      <c r="G101" s="215"/>
    </row>
    <row r="102" spans="1:7" s="214" customFormat="1" ht="18">
      <c r="A102" s="244" t="s">
        <v>310</v>
      </c>
      <c r="B102" s="221" t="s">
        <v>753</v>
      </c>
      <c r="C102" s="219"/>
      <c r="D102" s="219"/>
      <c r="E102" s="219"/>
      <c r="F102" s="219"/>
      <c r="G102" s="215"/>
    </row>
    <row r="103" spans="1:7" s="214" customFormat="1" ht="18">
      <c r="A103" s="244" t="s">
        <v>754</v>
      </c>
      <c r="B103" s="221" t="s">
        <v>770</v>
      </c>
      <c r="C103" s="219"/>
      <c r="D103" s="219"/>
      <c r="E103" s="219"/>
      <c r="F103" s="219"/>
      <c r="G103" s="215"/>
    </row>
    <row r="104" spans="1:7" s="214" customFormat="1" ht="18">
      <c r="A104" s="244" t="s">
        <v>311</v>
      </c>
      <c r="B104" s="221" t="s">
        <v>756</v>
      </c>
      <c r="C104" s="219"/>
      <c r="D104" s="219"/>
      <c r="E104" s="219"/>
      <c r="F104" s="219"/>
      <c r="G104" s="215"/>
    </row>
    <row r="105" spans="1:7" s="214" customFormat="1" ht="18">
      <c r="A105" s="498" t="s">
        <v>542</v>
      </c>
      <c r="B105" s="499" t="s">
        <v>312</v>
      </c>
      <c r="C105" s="219"/>
      <c r="D105" s="219"/>
      <c r="E105" s="219"/>
      <c r="F105" s="219"/>
      <c r="G105" s="215"/>
    </row>
    <row r="106" spans="1:7" s="214" customFormat="1" ht="18">
      <c r="A106" s="244" t="s">
        <v>543</v>
      </c>
      <c r="B106" s="221" t="s">
        <v>313</v>
      </c>
      <c r="C106" s="219"/>
      <c r="D106" s="219"/>
      <c r="E106" s="219"/>
      <c r="F106" s="219"/>
      <c r="G106" s="215"/>
    </row>
    <row r="107" spans="1:7" s="214" customFormat="1" ht="18">
      <c r="A107" s="219"/>
      <c r="B107" s="219"/>
      <c r="C107" s="219"/>
      <c r="D107" s="219"/>
      <c r="E107" s="219"/>
      <c r="F107" s="219"/>
      <c r="G107" s="215"/>
    </row>
    <row r="108" spans="1:7" s="214" customFormat="1" ht="18">
      <c r="A108" s="219"/>
      <c r="B108" s="219"/>
      <c r="C108" s="219"/>
      <c r="D108" s="219"/>
      <c r="E108" s="219"/>
      <c r="F108" s="219"/>
      <c r="G108" s="215"/>
    </row>
    <row r="109" spans="1:7" s="214" customFormat="1" ht="18">
      <c r="A109" s="219"/>
      <c r="B109" s="219"/>
      <c r="C109" s="219"/>
      <c r="D109" s="219"/>
      <c r="E109" s="219"/>
      <c r="F109" s="219"/>
      <c r="G109" s="215"/>
    </row>
    <row r="110" spans="1:7" s="214" customFormat="1" ht="18">
      <c r="A110" s="219"/>
      <c r="B110" s="219"/>
      <c r="C110" s="219"/>
      <c r="D110" s="219"/>
      <c r="E110" s="219"/>
      <c r="F110" s="219"/>
      <c r="G110" s="215"/>
    </row>
    <row r="111" spans="1:7" s="214" customFormat="1" ht="18">
      <c r="A111" s="219"/>
      <c r="B111" s="219"/>
      <c r="C111" s="219"/>
      <c r="D111" s="219"/>
      <c r="E111" s="219"/>
      <c r="F111" s="219"/>
      <c r="G111" s="215"/>
    </row>
    <row r="112" spans="1:7" s="214" customFormat="1" ht="18">
      <c r="A112" s="219"/>
      <c r="B112" s="219"/>
      <c r="C112" s="219"/>
      <c r="D112" s="219"/>
      <c r="E112" s="219"/>
      <c r="F112" s="219"/>
      <c r="G112" s="215"/>
    </row>
    <row r="113" spans="1:7" s="214" customFormat="1" ht="18">
      <c r="A113" s="219"/>
      <c r="B113" s="219"/>
      <c r="C113" s="219"/>
      <c r="D113" s="219"/>
      <c r="E113" s="219"/>
      <c r="F113" s="219"/>
      <c r="G113" s="215"/>
    </row>
    <row r="114" spans="1:7" s="214" customFormat="1" ht="18">
      <c r="A114" s="219"/>
      <c r="B114" s="219"/>
      <c r="C114" s="219"/>
      <c r="D114" s="219"/>
      <c r="E114" s="219"/>
      <c r="F114" s="219"/>
      <c r="G114" s="215"/>
    </row>
    <row r="115" spans="1:7" s="214" customFormat="1" ht="18">
      <c r="A115" s="219"/>
      <c r="B115" s="219"/>
      <c r="C115" s="219"/>
      <c r="D115" s="219"/>
      <c r="E115" s="219"/>
      <c r="F115" s="219"/>
      <c r="G115" s="215"/>
    </row>
    <row r="116" spans="1:7" s="214" customFormat="1" ht="18">
      <c r="A116" s="219"/>
      <c r="B116" s="219"/>
      <c r="C116" s="219"/>
      <c r="D116" s="219"/>
      <c r="E116" s="219"/>
      <c r="F116" s="219"/>
      <c r="G116" s="215"/>
    </row>
    <row r="117" spans="1:7" s="214" customFormat="1" ht="18">
      <c r="A117" s="219"/>
      <c r="B117" s="219"/>
      <c r="C117" s="219"/>
      <c r="D117" s="219"/>
      <c r="E117" s="219"/>
      <c r="F117" s="219"/>
      <c r="G117" s="215"/>
    </row>
    <row r="118" spans="1:7" s="214" customFormat="1" ht="18">
      <c r="A118" s="219"/>
      <c r="B118" s="219"/>
      <c r="C118" s="219"/>
      <c r="D118" s="219"/>
      <c r="E118" s="219"/>
      <c r="F118" s="219"/>
      <c r="G118" s="215"/>
    </row>
    <row r="119" spans="1:7" s="214" customFormat="1" ht="18">
      <c r="A119" s="219"/>
      <c r="B119" s="219"/>
      <c r="C119" s="219"/>
      <c r="D119" s="219"/>
      <c r="E119" s="219"/>
      <c r="F119" s="219"/>
      <c r="G119" s="215"/>
    </row>
    <row r="120" spans="1:7" s="214" customFormat="1" ht="18">
      <c r="A120" s="219"/>
      <c r="B120" s="219"/>
      <c r="C120" s="219"/>
      <c r="D120" s="219"/>
      <c r="E120" s="219"/>
      <c r="F120" s="219"/>
      <c r="G120" s="215"/>
    </row>
    <row r="121" spans="1:7" s="214" customFormat="1" ht="18">
      <c r="A121" s="219"/>
      <c r="B121" s="219"/>
      <c r="C121" s="219"/>
      <c r="D121" s="219"/>
      <c r="E121" s="219"/>
      <c r="F121" s="219"/>
      <c r="G121" s="215"/>
    </row>
    <row r="122" spans="1:7" s="214" customFormat="1" ht="18">
      <c r="A122" s="219"/>
      <c r="B122" s="219"/>
      <c r="C122" s="219"/>
      <c r="D122" s="219"/>
      <c r="E122" s="219"/>
      <c r="F122" s="219"/>
      <c r="G122" s="215"/>
    </row>
    <row r="123" spans="1:7" s="214" customFormat="1" ht="18">
      <c r="A123" s="219"/>
      <c r="B123" s="219"/>
      <c r="C123" s="219"/>
      <c r="D123" s="219"/>
      <c r="E123" s="219"/>
      <c r="F123" s="219"/>
      <c r="G123" s="215"/>
    </row>
    <row r="124" spans="1:7" s="214" customFormat="1" ht="18">
      <c r="A124" s="219"/>
      <c r="B124" s="219"/>
      <c r="C124" s="219"/>
      <c r="D124" s="219"/>
      <c r="E124" s="219"/>
      <c r="F124" s="219"/>
      <c r="G124" s="215"/>
    </row>
    <row r="125" spans="1:7" s="214" customFormat="1" ht="18">
      <c r="A125" s="219"/>
      <c r="B125" s="219"/>
      <c r="C125" s="219"/>
      <c r="D125" s="219"/>
      <c r="E125" s="219"/>
      <c r="F125" s="219"/>
      <c r="G125" s="215"/>
    </row>
    <row r="126" spans="1:7" s="214" customFormat="1" ht="18">
      <c r="A126" s="219"/>
      <c r="B126" s="219"/>
      <c r="C126" s="219"/>
      <c r="D126" s="219"/>
      <c r="E126" s="219"/>
      <c r="F126" s="219"/>
      <c r="G126" s="215"/>
    </row>
    <row r="127" spans="1:7" s="214" customFormat="1" ht="18">
      <c r="A127" s="219"/>
      <c r="B127" s="219"/>
      <c r="C127" s="219"/>
      <c r="D127" s="219"/>
      <c r="E127" s="219"/>
      <c r="F127" s="219"/>
      <c r="G127" s="215"/>
    </row>
    <row r="128" spans="1:7" s="214" customFormat="1" ht="18">
      <c r="A128" s="219"/>
      <c r="B128" s="219"/>
      <c r="C128" s="219"/>
      <c r="D128" s="219"/>
      <c r="E128" s="219"/>
      <c r="F128" s="219"/>
      <c r="G128" s="215"/>
    </row>
    <row r="129" spans="1:7" s="214" customFormat="1" ht="18">
      <c r="A129" s="219"/>
      <c r="B129" s="219"/>
      <c r="C129" s="219"/>
      <c r="D129" s="219"/>
      <c r="E129" s="219"/>
      <c r="F129" s="219"/>
      <c r="G129" s="215"/>
    </row>
    <row r="130" spans="1:7" s="214" customFormat="1" ht="18">
      <c r="A130" s="219"/>
      <c r="B130" s="219"/>
      <c r="C130" s="219"/>
      <c r="D130" s="219"/>
      <c r="E130" s="219"/>
      <c r="F130" s="219"/>
      <c r="G130" s="215"/>
    </row>
    <row r="131" spans="1:7" s="214" customFormat="1" ht="18">
      <c r="A131" s="219"/>
      <c r="B131" s="219"/>
      <c r="C131" s="219"/>
      <c r="D131" s="219"/>
      <c r="E131" s="219"/>
      <c r="F131" s="219"/>
      <c r="G131" s="215"/>
    </row>
    <row r="132" spans="1:7" s="214" customFormat="1" ht="18">
      <c r="A132" s="219"/>
      <c r="B132" s="219"/>
      <c r="C132" s="219"/>
      <c r="D132" s="219"/>
      <c r="E132" s="219"/>
      <c r="F132" s="219"/>
      <c r="G132" s="215"/>
    </row>
    <row r="133" spans="1:7" s="214" customFormat="1" ht="18">
      <c r="A133" s="219"/>
      <c r="B133" s="219"/>
      <c r="C133" s="219"/>
      <c r="D133" s="219"/>
      <c r="E133" s="219"/>
      <c r="F133" s="219"/>
      <c r="G133" s="215"/>
    </row>
    <row r="134" spans="1:7" s="214" customFormat="1" ht="18">
      <c r="A134" s="219"/>
      <c r="B134" s="219"/>
      <c r="C134" s="219"/>
      <c r="D134" s="219"/>
      <c r="E134" s="219"/>
      <c r="F134" s="219"/>
      <c r="G134" s="215"/>
    </row>
    <row r="135" spans="1:7" s="214" customFormat="1" ht="18">
      <c r="A135" s="219"/>
      <c r="B135" s="219"/>
      <c r="C135" s="219"/>
      <c r="D135" s="219"/>
      <c r="E135" s="219"/>
      <c r="F135" s="219"/>
      <c r="G135" s="215"/>
    </row>
    <row r="136" spans="1:7" s="214" customFormat="1" ht="18">
      <c r="A136" s="219"/>
      <c r="B136" s="219"/>
      <c r="C136" s="219"/>
      <c r="D136" s="219"/>
      <c r="E136" s="219"/>
      <c r="F136" s="219"/>
      <c r="G136" s="215"/>
    </row>
    <row r="137" spans="1:7" s="214" customFormat="1" ht="18">
      <c r="A137" s="219"/>
      <c r="B137" s="219"/>
      <c r="C137" s="219"/>
      <c r="D137" s="219"/>
      <c r="E137" s="219"/>
      <c r="F137" s="219"/>
      <c r="G137" s="215"/>
    </row>
    <row r="138" spans="1:7" s="214" customFormat="1" ht="18">
      <c r="A138" s="219"/>
      <c r="B138" s="219"/>
      <c r="C138" s="219"/>
      <c r="D138" s="219"/>
      <c r="E138" s="219"/>
      <c r="F138" s="219"/>
      <c r="G138" s="215"/>
    </row>
    <row r="139" spans="1:7" s="214" customFormat="1" ht="18">
      <c r="A139" s="219"/>
      <c r="B139" s="219"/>
      <c r="C139" s="219"/>
      <c r="D139" s="219"/>
      <c r="E139" s="219"/>
      <c r="F139" s="219"/>
      <c r="G139" s="215"/>
    </row>
    <row r="140" spans="1:7" s="214" customFormat="1" ht="18">
      <c r="A140" s="219"/>
      <c r="B140" s="219"/>
      <c r="C140" s="219"/>
      <c r="D140" s="219"/>
      <c r="E140" s="219"/>
      <c r="F140" s="219"/>
      <c r="G140" s="215"/>
    </row>
    <row r="141" spans="1:7" s="214" customFormat="1" ht="18">
      <c r="A141" s="219"/>
      <c r="B141" s="219"/>
      <c r="C141" s="219"/>
      <c r="D141" s="219"/>
      <c r="E141" s="219"/>
      <c r="F141" s="219"/>
      <c r="G141" s="215"/>
    </row>
    <row r="142" spans="1:7" s="214" customFormat="1" ht="18">
      <c r="A142" s="219"/>
      <c r="B142" s="219"/>
      <c r="C142" s="219"/>
      <c r="D142" s="219"/>
      <c r="E142" s="219"/>
      <c r="F142" s="219"/>
      <c r="G142" s="215"/>
    </row>
    <row r="143" spans="1:7" s="214" customFormat="1" ht="18">
      <c r="A143" s="219"/>
      <c r="B143" s="219"/>
      <c r="C143" s="219"/>
      <c r="D143" s="219"/>
      <c r="E143" s="219"/>
      <c r="F143" s="219"/>
      <c r="G143" s="215"/>
    </row>
    <row r="144" spans="1:7" s="214" customFormat="1" ht="18">
      <c r="A144" s="219"/>
      <c r="B144" s="219"/>
      <c r="C144" s="219"/>
      <c r="D144" s="219"/>
      <c r="E144" s="219"/>
      <c r="F144" s="219"/>
      <c r="G144" s="215"/>
    </row>
    <row r="145" spans="1:7" s="214" customFormat="1" ht="18">
      <c r="A145" s="219"/>
      <c r="B145" s="219"/>
      <c r="C145" s="219"/>
      <c r="D145" s="219"/>
      <c r="E145" s="219"/>
      <c r="F145" s="219"/>
      <c r="G145" s="215"/>
    </row>
    <row r="146" spans="1:7" s="214" customFormat="1" ht="18">
      <c r="A146" s="219"/>
      <c r="B146" s="219"/>
      <c r="C146" s="219"/>
      <c r="D146" s="219"/>
      <c r="E146" s="219"/>
      <c r="F146" s="219"/>
      <c r="G146" s="215"/>
    </row>
    <row r="147" spans="1:7" s="214" customFormat="1" ht="18">
      <c r="A147" s="219"/>
      <c r="B147" s="219"/>
      <c r="C147" s="219"/>
      <c r="D147" s="219"/>
      <c r="E147" s="219"/>
      <c r="F147" s="219"/>
      <c r="G147" s="215"/>
    </row>
    <row r="148" spans="1:7" s="214" customFormat="1" ht="18">
      <c r="A148" s="219"/>
      <c r="B148" s="219"/>
      <c r="C148" s="219"/>
      <c r="D148" s="219"/>
      <c r="E148" s="219"/>
      <c r="F148" s="219"/>
      <c r="G148" s="215"/>
    </row>
    <row r="149" spans="1:7" s="214" customFormat="1" ht="18">
      <c r="A149" s="219"/>
      <c r="B149" s="219"/>
      <c r="C149" s="219"/>
      <c r="D149" s="219"/>
      <c r="E149" s="219"/>
      <c r="F149" s="219"/>
      <c r="G149" s="215"/>
    </row>
    <row r="150" spans="1:7" s="214" customFormat="1" ht="18">
      <c r="A150" s="219"/>
      <c r="B150" s="219"/>
      <c r="C150" s="219"/>
      <c r="D150" s="219"/>
      <c r="E150" s="219"/>
      <c r="F150" s="219"/>
      <c r="G150" s="215"/>
    </row>
    <row r="151" spans="1:7" s="214" customFormat="1" ht="18">
      <c r="A151" s="219"/>
      <c r="B151" s="219"/>
      <c r="C151" s="219"/>
      <c r="D151" s="219"/>
      <c r="E151" s="219"/>
      <c r="F151" s="219"/>
      <c r="G151" s="215"/>
    </row>
    <row r="152" spans="1:7" s="214" customFormat="1" ht="18">
      <c r="A152" s="219"/>
      <c r="B152" s="219"/>
      <c r="C152" s="219"/>
      <c r="D152" s="219"/>
      <c r="E152" s="219"/>
      <c r="F152" s="219"/>
      <c r="G152" s="215"/>
    </row>
    <row r="153" spans="1:7" s="214" customFormat="1" ht="18">
      <c r="A153" s="219"/>
      <c r="B153" s="219"/>
      <c r="C153" s="219"/>
      <c r="D153" s="219"/>
      <c r="E153" s="219"/>
      <c r="F153" s="219"/>
      <c r="G153" s="215"/>
    </row>
    <row r="154" spans="1:7" s="214" customFormat="1" ht="18">
      <c r="A154" s="219"/>
      <c r="B154" s="219"/>
      <c r="C154" s="219"/>
      <c r="D154" s="219"/>
      <c r="E154" s="219"/>
      <c r="F154" s="219"/>
      <c r="G154" s="215"/>
    </row>
    <row r="155" spans="1:7" s="214" customFormat="1" ht="18">
      <c r="A155" s="219"/>
      <c r="B155" s="219"/>
      <c r="C155" s="219"/>
      <c r="D155" s="219"/>
      <c r="E155" s="219"/>
      <c r="F155" s="219"/>
      <c r="G155" s="215"/>
    </row>
    <row r="156" spans="1:7" s="214" customFormat="1" ht="18">
      <c r="A156" s="219"/>
      <c r="B156" s="219"/>
      <c r="C156" s="219"/>
      <c r="D156" s="219"/>
      <c r="E156" s="219"/>
      <c r="F156" s="219"/>
      <c r="G156" s="215"/>
    </row>
    <row r="157" spans="1:7" s="214" customFormat="1" ht="18">
      <c r="A157" s="219"/>
      <c r="B157" s="219"/>
      <c r="C157" s="219"/>
      <c r="D157" s="219"/>
      <c r="E157" s="219"/>
      <c r="F157" s="219"/>
      <c r="G157" s="215"/>
    </row>
    <row r="158" spans="1:7" s="214" customFormat="1" ht="18">
      <c r="A158" s="219"/>
      <c r="B158" s="219"/>
      <c r="C158" s="219"/>
      <c r="D158" s="219"/>
      <c r="E158" s="219"/>
      <c r="F158" s="219"/>
      <c r="G158" s="215"/>
    </row>
    <row r="159" spans="1:7" s="214" customFormat="1" ht="18">
      <c r="A159" s="219"/>
      <c r="B159" s="219"/>
      <c r="C159" s="219"/>
      <c r="D159" s="219"/>
      <c r="E159" s="219"/>
      <c r="F159" s="219"/>
      <c r="G159" s="215"/>
    </row>
    <row r="160" spans="1:7" s="214" customFormat="1" ht="18">
      <c r="A160" s="219"/>
      <c r="B160" s="219"/>
      <c r="C160" s="219"/>
      <c r="D160" s="219"/>
      <c r="E160" s="219"/>
      <c r="F160" s="219"/>
      <c r="G160" s="215"/>
    </row>
    <row r="161" spans="1:7" s="214" customFormat="1" ht="18">
      <c r="A161" s="219"/>
      <c r="B161" s="219"/>
      <c r="C161" s="219"/>
      <c r="D161" s="219"/>
      <c r="E161" s="219"/>
      <c r="F161" s="219"/>
      <c r="G161" s="215"/>
    </row>
    <row r="162" spans="1:7" s="214" customFormat="1" ht="18">
      <c r="A162" s="219"/>
      <c r="B162" s="219"/>
      <c r="C162" s="219"/>
      <c r="D162" s="219"/>
      <c r="E162" s="219"/>
      <c r="F162" s="219"/>
      <c r="G162" s="215"/>
    </row>
    <row r="163" spans="1:7" s="214" customFormat="1" ht="18">
      <c r="A163" s="219"/>
      <c r="B163" s="219"/>
      <c r="C163" s="219"/>
      <c r="D163" s="219"/>
      <c r="E163" s="219"/>
      <c r="F163" s="219"/>
      <c r="G163" s="215"/>
    </row>
    <row r="164" spans="1:7" s="214" customFormat="1" ht="18">
      <c r="A164" s="219"/>
      <c r="B164" s="219"/>
      <c r="C164" s="219"/>
      <c r="D164" s="219"/>
      <c r="E164" s="219"/>
      <c r="F164" s="219"/>
      <c r="G164" s="215"/>
    </row>
    <row r="165" spans="1:7" s="214" customFormat="1" ht="18">
      <c r="A165" s="219"/>
      <c r="B165" s="219"/>
      <c r="C165" s="219"/>
      <c r="D165" s="219"/>
      <c r="E165" s="219"/>
      <c r="F165" s="219"/>
      <c r="G165" s="215"/>
    </row>
    <row r="166" spans="1:7" s="214" customFormat="1" ht="18">
      <c r="A166" s="219"/>
      <c r="B166" s="219"/>
      <c r="C166" s="219"/>
      <c r="D166" s="219"/>
      <c r="E166" s="219"/>
      <c r="F166" s="219"/>
      <c r="G166" s="215"/>
    </row>
    <row r="167" spans="1:7" s="214" customFormat="1" ht="18">
      <c r="A167" s="219"/>
      <c r="B167" s="219"/>
      <c r="C167" s="219"/>
      <c r="D167" s="219"/>
      <c r="E167" s="219"/>
      <c r="F167" s="219"/>
      <c r="G167" s="215"/>
    </row>
    <row r="168" spans="1:7" s="214" customFormat="1" ht="18">
      <c r="A168" s="219"/>
      <c r="B168" s="219"/>
      <c r="C168" s="219"/>
      <c r="D168" s="219"/>
      <c r="E168" s="219"/>
      <c r="F168" s="219"/>
      <c r="G168" s="215"/>
    </row>
    <row r="169" spans="1:7" s="214" customFormat="1" ht="18">
      <c r="A169" s="219"/>
      <c r="B169" s="219"/>
      <c r="C169" s="219"/>
      <c r="D169" s="219"/>
      <c r="E169" s="219"/>
      <c r="F169" s="219"/>
      <c r="G169" s="215"/>
    </row>
    <row r="170" spans="1:7" s="214" customFormat="1" ht="18">
      <c r="A170" s="219"/>
      <c r="B170" s="219"/>
      <c r="C170" s="219"/>
      <c r="D170" s="219"/>
      <c r="E170" s="219"/>
      <c r="F170" s="219"/>
      <c r="G170" s="215"/>
    </row>
    <row r="171" spans="1:7" s="214" customFormat="1" ht="18">
      <c r="A171" s="219"/>
      <c r="B171" s="219"/>
      <c r="C171" s="219"/>
      <c r="D171" s="219"/>
      <c r="E171" s="219"/>
      <c r="F171" s="219"/>
      <c r="G171" s="215"/>
    </row>
    <row r="172" spans="1:7" s="214" customFormat="1" ht="18">
      <c r="A172" s="219"/>
      <c r="B172" s="219"/>
      <c r="C172" s="219"/>
      <c r="D172" s="219"/>
      <c r="E172" s="219"/>
      <c r="F172" s="219"/>
      <c r="G172" s="215"/>
    </row>
    <row r="173" spans="1:7" s="214" customFormat="1" ht="18">
      <c r="A173" s="219"/>
      <c r="B173" s="219"/>
      <c r="C173" s="219"/>
      <c r="D173" s="219"/>
      <c r="E173" s="219"/>
      <c r="F173" s="219"/>
      <c r="G173" s="215"/>
    </row>
    <row r="174" spans="1:7" s="214" customFormat="1" ht="18">
      <c r="A174" s="219"/>
      <c r="B174" s="219"/>
      <c r="C174" s="219"/>
      <c r="D174" s="219"/>
      <c r="E174" s="219"/>
      <c r="F174" s="219"/>
      <c r="G174" s="215"/>
    </row>
    <row r="175" spans="1:7" s="214" customFormat="1" ht="18">
      <c r="A175" s="219"/>
      <c r="B175" s="219"/>
      <c r="C175" s="219"/>
      <c r="D175" s="219"/>
      <c r="E175" s="219"/>
      <c r="F175" s="219"/>
      <c r="G175" s="215"/>
    </row>
    <row r="176" spans="1:7" s="214" customFormat="1" ht="18">
      <c r="A176" s="219"/>
      <c r="B176" s="219"/>
      <c r="C176" s="219"/>
      <c r="D176" s="219"/>
      <c r="E176" s="219"/>
      <c r="F176" s="219"/>
      <c r="G176" s="215"/>
    </row>
    <row r="177" spans="1:7" s="214" customFormat="1" ht="18">
      <c r="A177" s="219"/>
      <c r="B177" s="219"/>
      <c r="C177" s="219"/>
      <c r="D177" s="219"/>
      <c r="E177" s="219"/>
      <c r="F177" s="219"/>
      <c r="G177" s="215"/>
    </row>
    <row r="178" spans="1:2" ht="18">
      <c r="A178" s="219"/>
      <c r="B178" s="219"/>
    </row>
    <row r="179" spans="1:2" ht="18">
      <c r="A179" s="219"/>
      <c r="B179" s="219"/>
    </row>
    <row r="180" spans="1:2" s="214" customFormat="1" ht="18">
      <c r="A180" s="219"/>
      <c r="B180" s="219"/>
    </row>
    <row r="181" spans="1:2" ht="18">
      <c r="A181" s="219"/>
      <c r="B181" s="219"/>
    </row>
    <row r="184" ht="18">
      <c r="B184" s="214"/>
    </row>
    <row r="187" s="214" customFormat="1" ht="18">
      <c r="B187" s="190"/>
    </row>
    <row r="191" ht="18">
      <c r="B191" s="214"/>
    </row>
    <row r="192" s="214" customFormat="1" ht="18">
      <c r="B192" s="190"/>
    </row>
    <row r="197" s="214" customFormat="1" ht="18">
      <c r="B197" s="190"/>
    </row>
    <row r="202" ht="18">
      <c r="A202" s="216"/>
    </row>
    <row r="203" ht="18">
      <c r="A203" s="216"/>
    </row>
    <row r="204" ht="18">
      <c r="A204" s="216"/>
    </row>
  </sheetData>
  <sheetProtection password="83AF" sheet="1" objects="1" scenarios="1" selectLockedCells="1" selectUnlockedCells="1"/>
  <mergeCells count="2">
    <mergeCell ref="A8:B8"/>
    <mergeCell ref="A1:B1"/>
  </mergeCells>
  <printOptions horizontalCentered="1"/>
  <pageMargins left="0.5" right="0.5" top="1.25" bottom="0.75" header="0.75" footer="0.5"/>
  <pageSetup cellComments="asDisplayed" horizontalDpi="600" verticalDpi="600" orientation="portrait" r:id="rId3"/>
  <headerFooter alignWithMargins="0">
    <oddHeader>&amp;L&amp;"Trebuchet MS,Regular"Calibration of LPG Provers&amp;R&amp;"Trebuchet MS,Regular"WAMRF-014, Rev. 29, 10/22/2014</oddHeader>
    <oddFooter>&amp;L&amp;"Trebuchet MS,Regular"&amp;F&amp;R&amp;"Trebuchet MS,Regular"&amp;A Worksheet Page &amp;P of &amp;N</oddFooter>
  </headerFooter>
  <tableParts>
    <tablePart r:id="rId2"/>
    <tablePart r:id="rId1"/>
  </tableParts>
</worksheet>
</file>

<file path=xl/worksheets/sheet5.xml><?xml version="1.0" encoding="utf-8"?>
<worksheet xmlns="http://schemas.openxmlformats.org/spreadsheetml/2006/main" xmlns:r="http://schemas.openxmlformats.org/officeDocument/2006/relationships">
  <sheetPr>
    <tabColor indexed="13"/>
  </sheetPr>
  <dimension ref="A5:U110"/>
  <sheetViews>
    <sheetView showGridLines="0" zoomScalePageLayoutView="0" workbookViewId="0" topLeftCell="A1">
      <selection activeCell="A1" sqref="A1"/>
    </sheetView>
  </sheetViews>
  <sheetFormatPr defaultColWidth="0" defaultRowHeight="15.75" zeroHeight="1"/>
  <cols>
    <col min="1" max="7" width="10.77734375" style="146" customWidth="1"/>
    <col min="8" max="8" width="3.77734375" style="146" customWidth="1"/>
    <col min="9" max="10" width="9.77734375" style="146" hidden="1" customWidth="1"/>
    <col min="11" max="16384" width="0" style="146" hidden="1" customWidth="1"/>
  </cols>
  <sheetData>
    <row r="1" s="140" customFormat="1" ht="15.75"/>
    <row r="2" s="140" customFormat="1" ht="15.75"/>
    <row r="3" s="140" customFormat="1" ht="15.75"/>
    <row r="4" s="140" customFormat="1" ht="15.75"/>
    <row r="5" s="140" customFormat="1" ht="15.75">
      <c r="D5" s="141"/>
    </row>
    <row r="6" s="140" customFormat="1" ht="18">
      <c r="D6" s="142"/>
    </row>
    <row r="7" s="140" customFormat="1" ht="16.5">
      <c r="D7" s="143"/>
    </row>
    <row r="8" s="140" customFormat="1" ht="15.75">
      <c r="D8" s="144"/>
    </row>
    <row r="9" s="140" customFormat="1" ht="15.75">
      <c r="D9" s="145"/>
    </row>
    <row r="10" ht="18"/>
    <row r="11" ht="23.25">
      <c r="D11" s="147" t="s">
        <v>176</v>
      </c>
    </row>
    <row r="12" ht="18"/>
    <row r="13" ht="18">
      <c r="D13" s="148" t="s">
        <v>177</v>
      </c>
    </row>
    <row r="14" spans="3:5" ht="18" customHeight="1">
      <c r="C14" s="206"/>
      <c r="D14" s="207">
        <f>IF('Prover Data Entry'!A4="","",'Prover Data Entry'!A4)</f>
      </c>
      <c r="E14" s="206"/>
    </row>
    <row r="15" spans="3:5" ht="18" customHeight="1">
      <c r="C15" s="206"/>
      <c r="D15" s="207">
        <f>IF('Prover Data Entry'!A5="","",'Prover Data Entry'!A5)</f>
      </c>
      <c r="E15" s="206"/>
    </row>
    <row r="16" spans="3:5" ht="18" customHeight="1">
      <c r="C16" s="206"/>
      <c r="D16" s="207">
        <f>IF('Prover Data Entry'!A6="","",'Prover Data Entry'!A6)</f>
      </c>
      <c r="E16" s="206"/>
    </row>
    <row r="17" spans="3:5" ht="18" customHeight="1">
      <c r="C17" s="206"/>
      <c r="D17" s="207">
        <f>IF('Prover Data Entry'!A7="","",'Prover Data Entry'!A7)</f>
      </c>
      <c r="E17" s="206"/>
    </row>
    <row r="18" ht="12" customHeight="1">
      <c r="D18" s="149"/>
    </row>
    <row r="19" s="140" customFormat="1" ht="16.5">
      <c r="D19" s="150" t="s">
        <v>178</v>
      </c>
    </row>
    <row r="20" s="140" customFormat="1" ht="18">
      <c r="D20" s="151">
        <f>IF(POC_Name="","",POC_Name)</f>
      </c>
    </row>
    <row r="21" s="140" customFormat="1" ht="18">
      <c r="D21" s="151">
        <f>IF(POC_Phone="","","Ph. "&amp;POC_Phone)</f>
      </c>
    </row>
    <row r="22" ht="12" customHeight="1">
      <c r="D22" s="149"/>
    </row>
    <row r="23" s="140" customFormat="1" ht="16.5">
      <c r="D23" s="150" t="s">
        <v>179</v>
      </c>
    </row>
    <row r="24" ht="18">
      <c r="D24" s="152">
        <f>IF(PO_No="","",PO_No)</f>
      </c>
    </row>
    <row r="25" ht="12" customHeight="1">
      <c r="D25" s="149"/>
    </row>
    <row r="26" ht="18">
      <c r="D26" s="153" t="s">
        <v>127</v>
      </c>
    </row>
    <row r="27" ht="18">
      <c r="D27" s="154">
        <f>IF(RptNo="","",RptNo)</f>
      </c>
    </row>
    <row r="28" ht="12" customHeight="1">
      <c r="D28" s="149"/>
    </row>
    <row r="29" ht="18">
      <c r="D29" s="155" t="str">
        <f>IF(Cal_Date="","Calibration Date","Calibration Date: "&amp;TEXT(Cal_Date,"mmmm d, yyyy"))</f>
        <v>Calibration Date</v>
      </c>
    </row>
    <row r="30" ht="12" customHeight="1">
      <c r="D30" s="149"/>
    </row>
    <row r="31" ht="18">
      <c r="D31" s="155" t="str">
        <f>IF(Cal_Date="","Calibration Due Date",IF(intervalQ="yes","Calibration Due Date: "&amp;TEXT(DATE(YEAR(Cal_Date),MONTH(Cal_Date)+interval,DAY(Cal_Date)),"mmmm d, yyyy"),""))</f>
        <v>Calibration Due Date</v>
      </c>
    </row>
    <row r="32" ht="12" customHeight="1">
      <c r="D32" s="149"/>
    </row>
    <row r="33" spans="1:7" ht="18">
      <c r="A33" s="608" t="s">
        <v>180</v>
      </c>
      <c r="B33" s="608"/>
      <c r="C33" s="608"/>
      <c r="D33" s="608"/>
      <c r="E33" s="608"/>
      <c r="F33" s="608"/>
      <c r="G33" s="608"/>
    </row>
    <row r="34" spans="1:7" ht="18">
      <c r="A34" s="608"/>
      <c r="B34" s="608"/>
      <c r="C34" s="608"/>
      <c r="D34" s="608"/>
      <c r="E34" s="608"/>
      <c r="F34" s="608"/>
      <c r="G34" s="608"/>
    </row>
    <row r="35" ht="18"/>
    <row r="36" ht="18">
      <c r="D36" s="149"/>
    </row>
    <row r="37" spans="1:7" ht="18">
      <c r="A37" s="156"/>
      <c r="B37" s="156"/>
      <c r="C37" s="156"/>
      <c r="D37" s="149"/>
      <c r="F37" s="156"/>
      <c r="G37" s="156"/>
    </row>
    <row r="38" spans="1:7" s="157" customFormat="1" ht="15">
      <c r="A38" s="157" t="s">
        <v>557</v>
      </c>
      <c r="D38" s="158"/>
      <c r="F38" s="606" t="s">
        <v>181</v>
      </c>
      <c r="G38" s="606"/>
    </row>
    <row r="39" spans="1:4" s="159" customFormat="1" ht="12" customHeight="1">
      <c r="A39" s="146"/>
      <c r="D39" s="160"/>
    </row>
    <row r="40" spans="1:4" s="159" customFormat="1" ht="18">
      <c r="A40" s="146"/>
      <c r="D40" s="160"/>
    </row>
    <row r="41" spans="1:11" s="140" customFormat="1" ht="52.5" customHeight="1">
      <c r="A41" s="609" t="s">
        <v>762</v>
      </c>
      <c r="B41" s="609"/>
      <c r="C41" s="610" t="s">
        <v>763</v>
      </c>
      <c r="D41" s="610"/>
      <c r="E41" s="610"/>
      <c r="F41" s="610"/>
      <c r="G41" s="610"/>
      <c r="I41" s="25"/>
      <c r="J41" s="161"/>
      <c r="K41" s="162"/>
    </row>
    <row r="42" spans="1:8" ht="19.5">
      <c r="A42" s="607" t="s">
        <v>182</v>
      </c>
      <c r="B42" s="607"/>
      <c r="C42" s="607"/>
      <c r="D42" s="607"/>
      <c r="E42" s="607"/>
      <c r="F42" s="607"/>
      <c r="G42" s="607"/>
      <c r="H42" s="163"/>
    </row>
    <row r="43" spans="1:8" s="165" customFormat="1" ht="18">
      <c r="A43" s="146" t="str">
        <f>"Report Number: "&amp;RptNo</f>
        <v>Report Number: </v>
      </c>
      <c r="B43" s="146"/>
      <c r="C43" s="146"/>
      <c r="D43" s="146"/>
      <c r="E43" s="146"/>
      <c r="F43" s="146"/>
      <c r="G43" s="164" t="str">
        <f>IF(Cal_Date="","Calibration Date","Calibration Date: "&amp;TEXT(Cal_Date,"mmmm d, yyyy"))</f>
        <v>Calibration Date</v>
      </c>
      <c r="H43" s="146"/>
    </row>
    <row r="44" spans="2:15" s="165" customFormat="1" ht="12" customHeight="1">
      <c r="B44" s="166"/>
      <c r="C44" s="166"/>
      <c r="D44" s="166"/>
      <c r="E44" s="166"/>
      <c r="F44" s="166"/>
      <c r="O44" s="167"/>
    </row>
    <row r="45" spans="1:7" ht="18">
      <c r="A45" s="168" t="s">
        <v>183</v>
      </c>
      <c r="B45" s="166"/>
      <c r="C45" s="166"/>
      <c r="D45" s="166"/>
      <c r="E45" s="166"/>
      <c r="F45" s="166"/>
      <c r="G45" s="169"/>
    </row>
    <row r="46" spans="1:21" s="157" customFormat="1" ht="15.75" customHeight="1">
      <c r="A46" s="170" t="s">
        <v>184</v>
      </c>
      <c r="B46" s="171" t="str">
        <f>IF(Description="","",Nom_Val&amp;IF(NomValUnit="Nominal Volume (gal)"," gal "," L ")&amp;Description)</f>
        <v> L LPG Prover</v>
      </c>
      <c r="C46" s="172"/>
      <c r="D46" s="172"/>
      <c r="E46" s="173" t="s">
        <v>185</v>
      </c>
      <c r="F46" s="171">
        <f>IF(WODate="","",TEXT(WODate,"mmmm d, yyyy"))</f>
      </c>
      <c r="G46" s="172"/>
      <c r="O46" s="146"/>
      <c r="P46" s="146"/>
      <c r="Q46" s="146"/>
      <c r="R46" s="146"/>
      <c r="S46" s="146"/>
      <c r="T46" s="146"/>
      <c r="U46" s="146"/>
    </row>
    <row r="47" spans="1:21" s="157" customFormat="1" ht="15.75" customHeight="1">
      <c r="A47" s="170" t="s">
        <v>187</v>
      </c>
      <c r="B47" s="171">
        <f>IF(SN="","",SN)</f>
      </c>
      <c r="C47" s="172"/>
      <c r="D47" s="172"/>
      <c r="E47" s="170" t="s">
        <v>188</v>
      </c>
      <c r="F47" s="171">
        <f>IF(MFG="","",MFG)</f>
      </c>
      <c r="G47" s="172"/>
      <c r="O47" s="146"/>
      <c r="P47" s="146"/>
      <c r="Q47" s="146"/>
      <c r="R47" s="146"/>
      <c r="S47" s="146"/>
      <c r="T47" s="146"/>
      <c r="U47" s="146"/>
    </row>
    <row r="48" spans="1:21" s="157" customFormat="1" ht="15.75" customHeight="1">
      <c r="A48" s="174" t="s">
        <v>189</v>
      </c>
      <c r="B48" s="171">
        <f>IF(Material="","",Material)</f>
      </c>
      <c r="C48" s="172"/>
      <c r="D48" s="172"/>
      <c r="E48" s="173" t="s">
        <v>206</v>
      </c>
      <c r="F48" s="171">
        <f>IF(Material="","",IF(RefTempUnit="Designated Reference Temperature For This Calibration (ºC)",VLOOKUP(Material,CCE_Table,2)*1.8&amp;" / ºC",VLOOKUP(Material,CCE_Table,2)&amp;" / ºF"))</f>
      </c>
      <c r="G48" s="172"/>
      <c r="O48" s="146"/>
      <c r="P48" s="146"/>
      <c r="Q48" s="146"/>
      <c r="R48" s="146"/>
      <c r="S48" s="146"/>
      <c r="T48" s="146"/>
      <c r="U48" s="146"/>
    </row>
    <row r="49" spans="1:21" s="157" customFormat="1" ht="15.75" customHeight="1">
      <c r="A49" s="174" t="s">
        <v>194</v>
      </c>
      <c r="B49" s="179">
        <f>IF(Condition="","",Condition)</f>
      </c>
      <c r="E49" s="170" t="s">
        <v>186</v>
      </c>
      <c r="F49" s="171" t="s">
        <v>202</v>
      </c>
      <c r="G49" s="172"/>
      <c r="O49" s="146"/>
      <c r="P49" s="146"/>
      <c r="Q49" s="146"/>
      <c r="R49" s="146"/>
      <c r="S49" s="146"/>
      <c r="T49" s="146"/>
      <c r="U49" s="146"/>
    </row>
    <row r="50" s="157" customFormat="1" ht="12" customHeight="1"/>
    <row r="51" spans="1:7" ht="18">
      <c r="A51" s="177" t="s">
        <v>190</v>
      </c>
      <c r="B51" s="165"/>
      <c r="C51" s="165"/>
      <c r="D51" s="165"/>
      <c r="G51" s="178"/>
    </row>
    <row r="52" spans="1:6" s="157" customFormat="1" ht="15.75" customHeight="1">
      <c r="A52" s="173" t="s">
        <v>207</v>
      </c>
      <c r="B52" s="171">
        <f>IF(JobNo="","",JobNo)</f>
      </c>
      <c r="E52" s="170" t="s">
        <v>192</v>
      </c>
      <c r="F52" s="179">
        <f>IF(AirTemp="","",FIXED(AVERAGE(AirTemp,AirTemp_F),1)&amp;" ºC")</f>
      </c>
    </row>
    <row r="53" spans="1:6" s="157" customFormat="1" ht="15.75" customHeight="1">
      <c r="A53" s="170" t="s">
        <v>191</v>
      </c>
      <c r="B53" s="179">
        <f>IF(Tech="","",Tech)</f>
      </c>
      <c r="E53" s="170" t="s">
        <v>765</v>
      </c>
      <c r="F53" s="179">
        <f>IF(Humidity="","",FIXED(AVERAGE(Humidity,Humidity_F),1)&amp;" % RH")</f>
      </c>
    </row>
    <row r="54" spans="1:6" s="157" customFormat="1" ht="15.75" customHeight="1">
      <c r="A54" s="170" t="s">
        <v>193</v>
      </c>
      <c r="B54" s="179" t="s">
        <v>249</v>
      </c>
      <c r="E54" s="170" t="s">
        <v>195</v>
      </c>
      <c r="F54" s="179">
        <f>IF(t_1="","",FIXED(AVERAGE(t_1,t_2),1)&amp;" "&amp;CHAR(186)&amp;"C")</f>
      </c>
    </row>
    <row r="55" spans="1:6" s="157" customFormat="1" ht="9" customHeight="1">
      <c r="A55" s="175"/>
      <c r="B55" s="176"/>
      <c r="E55" s="170"/>
      <c r="F55" s="179"/>
    </row>
    <row r="56" spans="1:7" ht="15.75" customHeight="1">
      <c r="A56" s="180" t="s">
        <v>196</v>
      </c>
      <c r="B56" s="156"/>
      <c r="C56" s="156"/>
      <c r="D56" s="156"/>
      <c r="E56" s="181"/>
      <c r="F56" s="156"/>
      <c r="G56" s="156"/>
    </row>
    <row r="57" spans="1:7" ht="15.75" customHeight="1">
      <c r="A57" s="210" t="s">
        <v>8</v>
      </c>
      <c r="B57" s="210"/>
      <c r="C57" s="211" t="s">
        <v>5</v>
      </c>
      <c r="D57" s="611" t="s">
        <v>197</v>
      </c>
      <c r="E57" s="611"/>
      <c r="F57" s="212" t="s">
        <v>198</v>
      </c>
      <c r="G57" s="212" t="s">
        <v>199</v>
      </c>
    </row>
    <row r="58" spans="1:7" ht="15.75" customHeight="1">
      <c r="A58" s="600">
        <f>'Prover Data Entry'!B26</f>
        <v>0</v>
      </c>
      <c r="B58" s="600"/>
      <c r="C58" s="183">
        <f>'Prover Data Entry'!F26</f>
        <v>0</v>
      </c>
      <c r="D58" s="603">
        <f>'Prover Data Entry'!H26</f>
        <v>0</v>
      </c>
      <c r="E58" s="603"/>
      <c r="F58" s="185">
        <f>'Prover Data Entry'!J26</f>
        <v>0</v>
      </c>
      <c r="G58" s="185">
        <f>'Prover Data Entry'!K26</f>
        <v>0</v>
      </c>
    </row>
    <row r="59" spans="1:7" ht="15.75" customHeight="1">
      <c r="A59" s="600">
        <f>'Prover Data Entry'!B27</f>
        <v>0</v>
      </c>
      <c r="B59" s="600"/>
      <c r="C59" s="183">
        <f>'Prover Data Entry'!F27</f>
        <v>0</v>
      </c>
      <c r="D59" s="603">
        <f>'Prover Data Entry'!H27</f>
        <v>0</v>
      </c>
      <c r="E59" s="603"/>
      <c r="F59" s="185">
        <f>'Prover Data Entry'!J27</f>
        <v>0</v>
      </c>
      <c r="G59" s="185">
        <f>'Prover Data Entry'!K27</f>
        <v>0</v>
      </c>
    </row>
    <row r="60" spans="1:7" ht="15.75" customHeight="1">
      <c r="A60" s="600">
        <f>'Prover Data Entry'!B28</f>
        <v>0</v>
      </c>
      <c r="B60" s="600"/>
      <c r="C60" s="183">
        <f>'Prover Data Entry'!F28</f>
        <v>0</v>
      </c>
      <c r="D60" s="603">
        <f>'Prover Data Entry'!H28</f>
        <v>0</v>
      </c>
      <c r="E60" s="603"/>
      <c r="F60" s="185">
        <f>'Prover Data Entry'!J28</f>
        <v>0</v>
      </c>
      <c r="G60" s="185">
        <f>'Prover Data Entry'!K28</f>
        <v>0</v>
      </c>
    </row>
    <row r="61" spans="1:7" ht="15.75" customHeight="1">
      <c r="A61" s="600">
        <f>'Prover Data Entry'!B29</f>
        <v>0</v>
      </c>
      <c r="B61" s="600"/>
      <c r="C61" s="183">
        <f>'Prover Data Entry'!F29</f>
        <v>0</v>
      </c>
      <c r="D61" s="603">
        <f>'Prover Data Entry'!H29</f>
        <v>0</v>
      </c>
      <c r="E61" s="603"/>
      <c r="F61" s="185">
        <f>'Prover Data Entry'!J29</f>
        <v>0</v>
      </c>
      <c r="G61" s="185">
        <f>'Prover Data Entry'!K29</f>
        <v>0</v>
      </c>
    </row>
    <row r="62" spans="1:7" ht="15.75" customHeight="1">
      <c r="A62" s="600">
        <f>'Prover Data Entry'!B30</f>
        <v>0</v>
      </c>
      <c r="B62" s="600"/>
      <c r="C62" s="183">
        <f>'Prover Data Entry'!F30</f>
        <v>0</v>
      </c>
      <c r="D62" s="603">
        <f>'Prover Data Entry'!H30</f>
        <v>0</v>
      </c>
      <c r="E62" s="603"/>
      <c r="F62" s="185">
        <f>'Prover Data Entry'!J30</f>
        <v>0</v>
      </c>
      <c r="G62" s="185">
        <f>'Prover Data Entry'!K30</f>
        <v>0</v>
      </c>
    </row>
    <row r="63" spans="1:7" ht="15.75" customHeight="1">
      <c r="A63" s="600">
        <f>'Prover Data Entry'!B31</f>
        <v>0</v>
      </c>
      <c r="B63" s="600"/>
      <c r="C63" s="183">
        <f>'Prover Data Entry'!F31</f>
        <v>0</v>
      </c>
      <c r="D63" s="603">
        <f>'Prover Data Entry'!H31</f>
        <v>0</v>
      </c>
      <c r="E63" s="603"/>
      <c r="F63" s="185">
        <f>'Prover Data Entry'!J31</f>
        <v>0</v>
      </c>
      <c r="G63" s="185">
        <f>'Prover Data Entry'!K31</f>
        <v>0</v>
      </c>
    </row>
    <row r="64" spans="1:7" ht="15.75" customHeight="1">
      <c r="A64" s="600">
        <f>'Prover Data Entry'!B32</f>
        <v>0</v>
      </c>
      <c r="B64" s="600"/>
      <c r="C64" s="183">
        <f>'Prover Data Entry'!F32</f>
        <v>0</v>
      </c>
      <c r="D64" s="603">
        <f>'Prover Data Entry'!H32</f>
        <v>0</v>
      </c>
      <c r="E64" s="603"/>
      <c r="F64" s="185">
        <f>'Prover Data Entry'!J32</f>
        <v>0</v>
      </c>
      <c r="G64" s="185">
        <f>'Prover Data Entry'!K32</f>
        <v>0</v>
      </c>
    </row>
    <row r="65" spans="1:7" ht="15.75" customHeight="1">
      <c r="A65" s="600">
        <f>'Prover Data Entry'!B33</f>
        <v>0</v>
      </c>
      <c r="B65" s="600"/>
      <c r="C65" s="183">
        <f>'Prover Data Entry'!F33</f>
        <v>0</v>
      </c>
      <c r="D65" s="603">
        <f>'Prover Data Entry'!H33</f>
        <v>0</v>
      </c>
      <c r="E65" s="603"/>
      <c r="F65" s="185">
        <f>'Prover Data Entry'!J33</f>
        <v>0</v>
      </c>
      <c r="G65" s="185">
        <f>'Prover Data Entry'!K33</f>
        <v>0</v>
      </c>
    </row>
    <row r="66" spans="1:7" ht="12" customHeight="1">
      <c r="A66" s="182"/>
      <c r="B66" s="182"/>
      <c r="C66" s="183"/>
      <c r="D66" s="184"/>
      <c r="E66" s="184"/>
      <c r="F66" s="185"/>
      <c r="G66" s="185"/>
    </row>
    <row r="67" spans="1:7" ht="18">
      <c r="A67" s="177" t="s">
        <v>44</v>
      </c>
      <c r="B67" s="165"/>
      <c r="C67" s="165"/>
      <c r="D67" s="165"/>
      <c r="E67" s="165"/>
      <c r="F67" s="165"/>
      <c r="G67" s="178"/>
    </row>
    <row r="68" spans="1:7" ht="113.25" customHeight="1">
      <c r="A68" s="602" t="s">
        <v>465</v>
      </c>
      <c r="B68" s="602"/>
      <c r="C68" s="602"/>
      <c r="D68" s="602"/>
      <c r="E68" s="602"/>
      <c r="F68" s="602"/>
      <c r="G68" s="602"/>
    </row>
    <row r="69" spans="1:7" ht="12" customHeight="1">
      <c r="A69" s="186"/>
      <c r="B69" s="186"/>
      <c r="C69" s="186"/>
      <c r="D69" s="186"/>
      <c r="E69" s="186"/>
      <c r="F69" s="186"/>
      <c r="G69" s="186"/>
    </row>
    <row r="70" spans="1:7" ht="18">
      <c r="A70" s="177" t="s">
        <v>45</v>
      </c>
      <c r="B70" s="165"/>
      <c r="C70" s="165"/>
      <c r="D70" s="165"/>
      <c r="E70" s="165"/>
      <c r="F70" s="165"/>
      <c r="G70" s="178"/>
    </row>
    <row r="71" spans="1:7" ht="96.75" customHeight="1">
      <c r="A71" s="601" t="s">
        <v>778</v>
      </c>
      <c r="B71" s="601"/>
      <c r="C71" s="601"/>
      <c r="D71" s="601"/>
      <c r="E71" s="601"/>
      <c r="F71" s="601"/>
      <c r="G71" s="601"/>
    </row>
    <row r="72" spans="1:7" ht="12" customHeight="1">
      <c r="A72" s="127"/>
      <c r="B72" s="127"/>
      <c r="C72" s="127"/>
      <c r="D72" s="127"/>
      <c r="E72" s="127"/>
      <c r="F72" s="127"/>
      <c r="G72" s="127"/>
    </row>
    <row r="73" spans="1:7" ht="18">
      <c r="A73" s="177" t="s">
        <v>468</v>
      </c>
      <c r="B73" s="165"/>
      <c r="C73" s="165"/>
      <c r="D73" s="165"/>
      <c r="E73" s="165"/>
      <c r="F73" s="165"/>
      <c r="G73" s="178"/>
    </row>
    <row r="74" spans="1:7" ht="47.25" customHeight="1">
      <c r="A74" s="601" t="s">
        <v>764</v>
      </c>
      <c r="B74" s="601"/>
      <c r="C74" s="601"/>
      <c r="D74" s="601"/>
      <c r="E74" s="601"/>
      <c r="F74" s="601"/>
      <c r="G74" s="601"/>
    </row>
    <row r="75" spans="1:8" ht="19.5">
      <c r="A75" s="607" t="s">
        <v>182</v>
      </c>
      <c r="B75" s="607"/>
      <c r="C75" s="607"/>
      <c r="D75" s="607"/>
      <c r="E75" s="607"/>
      <c r="F75" s="607"/>
      <c r="G75" s="607"/>
      <c r="H75" s="163"/>
    </row>
    <row r="76" spans="1:8" s="165" customFormat="1" ht="18">
      <c r="A76" s="146" t="str">
        <f>"Report Number: "&amp;RptNo</f>
        <v>Report Number: </v>
      </c>
      <c r="B76" s="146"/>
      <c r="C76" s="146"/>
      <c r="D76" s="146"/>
      <c r="E76" s="146"/>
      <c r="F76" s="146"/>
      <c r="G76" s="164" t="str">
        <f>IF(Cal_Date="","Calibration Date","Calibration Date: "&amp;TEXT(Cal_Date,"mmmm d, yyyy"))</f>
        <v>Calibration Date</v>
      </c>
      <c r="H76" s="146"/>
    </row>
    <row r="77" spans="2:15" s="165" customFormat="1" ht="12" customHeight="1">
      <c r="B77" s="166"/>
      <c r="C77" s="166"/>
      <c r="D77" s="166"/>
      <c r="E77" s="166"/>
      <c r="F77" s="166"/>
      <c r="O77" s="167"/>
    </row>
    <row r="78" spans="1:7" ht="24" customHeight="1">
      <c r="A78" s="177" t="s">
        <v>200</v>
      </c>
      <c r="B78" s="165"/>
      <c r="C78" s="165"/>
      <c r="D78" s="165"/>
      <c r="E78" s="165"/>
      <c r="F78" s="165"/>
      <c r="G78" s="178"/>
    </row>
    <row r="79" spans="1:7" ht="63" customHeight="1">
      <c r="A79" s="599" t="s">
        <v>204</v>
      </c>
      <c r="B79" s="599"/>
      <c r="C79" s="599"/>
      <c r="D79" s="599"/>
      <c r="E79" s="599"/>
      <c r="F79" s="599"/>
      <c r="G79" s="599"/>
    </row>
    <row r="80" spans="1:7" ht="78.75" customHeight="1">
      <c r="A80" s="599" t="s">
        <v>205</v>
      </c>
      <c r="B80" s="599"/>
      <c r="C80" s="599"/>
      <c r="D80" s="599"/>
      <c r="E80" s="599"/>
      <c r="F80" s="599"/>
      <c r="G80" s="599"/>
    </row>
    <row r="81" spans="1:7" ht="31.5" customHeight="1">
      <c r="A81" s="605" t="s">
        <v>439</v>
      </c>
      <c r="B81" s="605"/>
      <c r="C81" s="605"/>
      <c r="D81" s="605"/>
      <c r="E81" s="605"/>
      <c r="F81" s="605"/>
      <c r="G81" s="605"/>
    </row>
    <row r="82" spans="1:7" ht="31.5" customHeight="1">
      <c r="A82" s="605" t="str">
        <f>IF(Nom_Val="","● The "&amp;Description&amp;" 'As Left' volume is 'In-Tolerance', the prover may be used in meter testing without a correction.",IF(ABS(Calculations!E45)+Unc&gt;Calculations!E43,"●  The "&amp;Description&amp;" 'As Left' volume is 'Out-of-Tolerance', the user must use a correction for all meter testing.","● The "&amp;Description&amp;" 'As Left' volume is 'In-Tolerance', the "&amp;Description&amp;" may be used in meter testing without a correction."))</f>
        <v>● The LPG Prover 'As Left' volume is 'In-Tolerance', the prover may be used in meter testing without a correction.</v>
      </c>
      <c r="B82" s="605"/>
      <c r="C82" s="605"/>
      <c r="D82" s="605"/>
      <c r="E82" s="605"/>
      <c r="F82" s="605"/>
      <c r="G82" s="605"/>
    </row>
    <row r="83" spans="1:7" ht="31.5" customHeight="1">
      <c r="A83" s="605" t="s">
        <v>68</v>
      </c>
      <c r="B83" s="605"/>
      <c r="C83" s="605"/>
      <c r="D83" s="605"/>
      <c r="E83" s="605"/>
      <c r="F83" s="605"/>
      <c r="G83" s="605"/>
    </row>
    <row r="84" spans="1:7" ht="31.5" customHeight="1">
      <c r="A84" s="605" t="str">
        <f>"●  The calibration item was calibrated in a 'wet down' condition using water. "&amp;IF(BottomZero="Yes","The calibration data above applies when the prover bottom zero is obtained during a 30 (± 5) second period after cessation of the main flow.","The calibration data above applies when the prover is drained for a 30 (± 5) second period after cessation of the main flow.")</f>
        <v>●  The calibration item was calibrated in a 'wet down' condition using water. The calibration data above applies when the prover is drained for a 30 (± 5) second period after cessation of the main flow.</v>
      </c>
      <c r="B84" s="605"/>
      <c r="C84" s="605"/>
      <c r="D84" s="605"/>
      <c r="E84" s="605"/>
      <c r="F84" s="605"/>
      <c r="G84" s="605"/>
    </row>
    <row r="85" spans="1:7" ht="15.75" customHeight="1">
      <c r="A85" s="605" t="str">
        <f>"●  The drain time (using "&amp;'Prover Data Entry'!E112&amp;") "&amp;IF(BottomZero="Yes","to the bottom zero was approximately ","was approximately ")&amp;'Prover Data Entry'!E111&amp;" minute(s) "&amp;'Prover Data Entry'!G111&amp;" seconds."</f>
        <v>●  The drain time (using ) was approximately  minute(s)  seconds.</v>
      </c>
      <c r="B85" s="605"/>
      <c r="C85" s="605"/>
      <c r="D85" s="605"/>
      <c r="E85" s="605"/>
      <c r="F85" s="605"/>
      <c r="G85" s="605"/>
    </row>
    <row r="86" spans="1:7" ht="15.75" customHeight="1">
      <c r="A86" s="605" t="str">
        <f>IF(AND(SealNoTop="",ISTEXT(SealNoBottom)),"●  The Bottom Securty Seal Number is "&amp;SealNoBottom&amp;".",IF(AND(ISTEXT(SealNoTop),SealNoBottom=""),"●  The Top Securty Seal Number is "&amp;SealNoTop&amp;".","●  The Top Securty Seal Number is "&amp;SealNoTop&amp;" and the Bottom Security Seal Number is "&amp;SealNoBottom&amp;"."))</f>
        <v>●  The Top Securty Seal Number is  and the Bottom Security Seal Number is .</v>
      </c>
      <c r="B86" s="605"/>
      <c r="C86" s="605"/>
      <c r="D86" s="605"/>
      <c r="E86" s="605"/>
      <c r="F86" s="605"/>
      <c r="G86" s="605"/>
    </row>
    <row r="87" spans="1:7" s="187" customFormat="1" ht="15.75" customHeight="1">
      <c r="A87" s="604" t="s">
        <v>201</v>
      </c>
      <c r="B87" s="604"/>
      <c r="C87" s="604"/>
      <c r="D87" s="604"/>
      <c r="E87" s="604"/>
      <c r="F87" s="604"/>
      <c r="G87" s="604"/>
    </row>
    <row r="88" spans="1:7" ht="12" customHeight="1">
      <c r="A88" s="186"/>
      <c r="B88" s="186"/>
      <c r="C88" s="186"/>
      <c r="D88" s="186"/>
      <c r="E88" s="186"/>
      <c r="F88" s="186"/>
      <c r="G88" s="186"/>
    </row>
    <row r="89" spans="1:6" s="165" customFormat="1" ht="24" customHeight="1">
      <c r="A89" s="177" t="s">
        <v>454</v>
      </c>
      <c r="C89" s="189"/>
      <c r="E89" s="188"/>
      <c r="F89" s="188"/>
    </row>
    <row r="90" s="165" customFormat="1" ht="18">
      <c r="A90" s="348" t="s">
        <v>455</v>
      </c>
    </row>
    <row r="91" s="165" customFormat="1" ht="18">
      <c r="A91" s="348" t="s">
        <v>456</v>
      </c>
    </row>
    <row r="92" spans="1:7" s="165" customFormat="1" ht="18">
      <c r="A92" s="612" t="s">
        <v>457</v>
      </c>
      <c r="B92" s="612"/>
      <c r="C92" s="612"/>
      <c r="D92" s="612" t="s">
        <v>459</v>
      </c>
      <c r="E92" s="612"/>
      <c r="F92" s="612" t="s">
        <v>467</v>
      </c>
      <c r="G92" s="612"/>
    </row>
    <row r="93" spans="1:7" s="165" customFormat="1" ht="18">
      <c r="A93" s="613" t="s">
        <v>460</v>
      </c>
      <c r="B93" s="613"/>
      <c r="C93" s="613"/>
      <c r="D93" s="614" t="s">
        <v>458</v>
      </c>
      <c r="E93" s="614"/>
      <c r="F93" s="615" t="s">
        <v>462</v>
      </c>
      <c r="G93" s="615"/>
    </row>
    <row r="94" spans="1:7" s="165" customFormat="1" ht="18">
      <c r="A94" s="613" t="s">
        <v>461</v>
      </c>
      <c r="B94" s="613"/>
      <c r="C94" s="613"/>
      <c r="D94" s="614" t="s">
        <v>458</v>
      </c>
      <c r="E94" s="614"/>
      <c r="F94" s="616" t="s">
        <v>466</v>
      </c>
      <c r="G94" s="616"/>
    </row>
    <row r="95" spans="1:7" s="165" customFormat="1" ht="18">
      <c r="A95" s="613" t="s">
        <v>463</v>
      </c>
      <c r="B95" s="613"/>
      <c r="C95" s="613"/>
      <c r="D95" s="614" t="s">
        <v>458</v>
      </c>
      <c r="E95" s="614"/>
      <c r="F95" s="616" t="s">
        <v>464</v>
      </c>
      <c r="G95" s="616"/>
    </row>
    <row r="96" spans="1:7" ht="12" customHeight="1">
      <c r="A96" s="186"/>
      <c r="B96" s="186"/>
      <c r="C96" s="186"/>
      <c r="D96" s="186"/>
      <c r="E96" s="186"/>
      <c r="F96" s="186"/>
      <c r="G96" s="186"/>
    </row>
    <row r="97" spans="1:7" ht="18" hidden="1">
      <c r="A97" s="157"/>
      <c r="B97" s="157"/>
      <c r="C97" s="157"/>
      <c r="D97" s="157"/>
      <c r="E97" s="157"/>
      <c r="F97" s="157"/>
      <c r="G97" s="157"/>
    </row>
    <row r="98" spans="1:7" ht="18" hidden="1">
      <c r="A98" s="157"/>
      <c r="B98" s="157"/>
      <c r="C98" s="157"/>
      <c r="D98" s="157"/>
      <c r="E98" s="157"/>
      <c r="F98" s="157"/>
      <c r="G98" s="157"/>
    </row>
    <row r="99" spans="1:7" ht="18" hidden="1">
      <c r="A99" s="157"/>
      <c r="B99" s="157"/>
      <c r="C99" s="157"/>
      <c r="D99" s="157"/>
      <c r="E99" s="157"/>
      <c r="F99" s="157"/>
      <c r="G99" s="157"/>
    </row>
    <row r="100" spans="1:7" ht="18" hidden="1">
      <c r="A100" s="157"/>
      <c r="B100" s="157"/>
      <c r="C100" s="157"/>
      <c r="D100" s="157"/>
      <c r="E100" s="157"/>
      <c r="F100" s="157"/>
      <c r="G100" s="157"/>
    </row>
    <row r="101" spans="1:7" ht="18" hidden="1">
      <c r="A101" s="157"/>
      <c r="B101" s="157"/>
      <c r="C101" s="157"/>
      <c r="D101" s="157"/>
      <c r="E101" s="157"/>
      <c r="F101" s="157"/>
      <c r="G101" s="157"/>
    </row>
    <row r="102" spans="1:7" ht="18" hidden="1">
      <c r="A102" s="157"/>
      <c r="B102" s="157"/>
      <c r="C102" s="157"/>
      <c r="D102" s="157"/>
      <c r="E102" s="157"/>
      <c r="F102" s="157"/>
      <c r="G102" s="157"/>
    </row>
    <row r="103" spans="1:7" ht="18" hidden="1">
      <c r="A103" s="157"/>
      <c r="B103" s="157"/>
      <c r="C103" s="157"/>
      <c r="D103" s="157"/>
      <c r="E103" s="157"/>
      <c r="F103" s="157"/>
      <c r="G103" s="157"/>
    </row>
    <row r="104" spans="1:7" ht="18" hidden="1">
      <c r="A104" s="157"/>
      <c r="B104" s="157"/>
      <c r="C104" s="157"/>
      <c r="D104" s="157"/>
      <c r="E104" s="157"/>
      <c r="F104" s="157"/>
      <c r="G104" s="157"/>
    </row>
    <row r="105" spans="1:7" ht="18" hidden="1">
      <c r="A105" s="157"/>
      <c r="B105" s="157"/>
      <c r="C105" s="157"/>
      <c r="D105" s="157"/>
      <c r="E105" s="157"/>
      <c r="F105" s="157"/>
      <c r="G105" s="157"/>
    </row>
    <row r="106" spans="1:7" ht="18" hidden="1">
      <c r="A106" s="157"/>
      <c r="B106" s="157"/>
      <c r="C106" s="157"/>
      <c r="D106" s="157"/>
      <c r="E106" s="157"/>
      <c r="F106" s="157"/>
      <c r="G106" s="157"/>
    </row>
    <row r="107" spans="1:7" ht="18" hidden="1">
      <c r="A107" s="157"/>
      <c r="B107" s="157"/>
      <c r="C107" s="157"/>
      <c r="D107" s="157"/>
      <c r="E107" s="157"/>
      <c r="F107" s="157"/>
      <c r="G107" s="157"/>
    </row>
    <row r="108" spans="1:7" ht="18" hidden="1">
      <c r="A108" s="157"/>
      <c r="B108" s="157"/>
      <c r="C108" s="157"/>
      <c r="D108" s="157"/>
      <c r="E108" s="157"/>
      <c r="F108" s="157"/>
      <c r="G108" s="157"/>
    </row>
    <row r="109" spans="1:7" ht="18" hidden="1">
      <c r="A109" s="157"/>
      <c r="B109" s="157"/>
      <c r="C109" s="157"/>
      <c r="D109" s="157"/>
      <c r="E109" s="157"/>
      <c r="F109" s="157"/>
      <c r="G109" s="157"/>
    </row>
    <row r="110" spans="1:7" ht="18" hidden="1">
      <c r="A110" s="157"/>
      <c r="B110" s="157"/>
      <c r="C110" s="157"/>
      <c r="D110" s="157"/>
      <c r="E110" s="157"/>
      <c r="F110" s="157"/>
      <c r="G110" s="157"/>
    </row>
    <row r="111" ht="18" hidden="1"/>
    <row r="112" ht="18" hidden="1"/>
    <row r="113" ht="18" hidden="1"/>
    <row r="114" ht="18" hidden="1"/>
  </sheetData>
  <sheetProtection password="83AF" sheet="1" objects="1" scenarios="1"/>
  <mergeCells count="47">
    <mergeCell ref="A94:C94"/>
    <mergeCell ref="D94:E94"/>
    <mergeCell ref="F94:G94"/>
    <mergeCell ref="A95:C95"/>
    <mergeCell ref="D95:E95"/>
    <mergeCell ref="F95:G95"/>
    <mergeCell ref="A92:C92"/>
    <mergeCell ref="A93:C93"/>
    <mergeCell ref="D92:E92"/>
    <mergeCell ref="D93:E93"/>
    <mergeCell ref="F92:G92"/>
    <mergeCell ref="F93:G93"/>
    <mergeCell ref="A33:G34"/>
    <mergeCell ref="A60:B60"/>
    <mergeCell ref="D60:E60"/>
    <mergeCell ref="A61:B61"/>
    <mergeCell ref="D61:E61"/>
    <mergeCell ref="A41:B41"/>
    <mergeCell ref="C41:G41"/>
    <mergeCell ref="A42:G42"/>
    <mergeCell ref="A58:B58"/>
    <mergeCell ref="D57:E57"/>
    <mergeCell ref="A87:G87"/>
    <mergeCell ref="A83:G83"/>
    <mergeCell ref="A82:G82"/>
    <mergeCell ref="A86:G86"/>
    <mergeCell ref="A84:G84"/>
    <mergeCell ref="F38:G38"/>
    <mergeCell ref="A75:G75"/>
    <mergeCell ref="A81:G81"/>
    <mergeCell ref="A65:B65"/>
    <mergeCell ref="A85:G85"/>
    <mergeCell ref="D58:E58"/>
    <mergeCell ref="A59:B59"/>
    <mergeCell ref="D62:E62"/>
    <mergeCell ref="D65:E65"/>
    <mergeCell ref="D59:E59"/>
    <mergeCell ref="A62:B62"/>
    <mergeCell ref="A80:G80"/>
    <mergeCell ref="A63:B63"/>
    <mergeCell ref="A64:B64"/>
    <mergeCell ref="A71:G71"/>
    <mergeCell ref="A74:G74"/>
    <mergeCell ref="A68:G68"/>
    <mergeCell ref="D63:E63"/>
    <mergeCell ref="D64:E64"/>
    <mergeCell ref="A79:G79"/>
  </mergeCells>
  <printOptions/>
  <pageMargins left="0.6" right="0.5" top="0.25" bottom="1" header="0.6" footer="0.5"/>
  <pageSetup horizontalDpi="600" verticalDpi="600" orientation="portrait" r:id="rId4"/>
  <headerFooter alignWithMargins="0">
    <oddFooter>&amp;L&amp;"Trebuchet MS,Regular"&amp;10WAMRF-014, Rev. 29, 10/22/2014&amp;R&amp;"Trebuchet MS,Regular"&amp;10Page &amp;P of 6</oddFooter>
  </headerFooter>
  <rowBreaks count="2" manualBreakCount="2">
    <brk id="41" max="255" man="1"/>
    <brk id="74" max="6" man="1"/>
  </rowBreaks>
  <drawing r:id="rId3"/>
  <legacyDrawing r:id="rId2"/>
</worksheet>
</file>

<file path=xl/worksheets/sheet6.xml><?xml version="1.0" encoding="utf-8"?>
<worksheet xmlns="http://schemas.openxmlformats.org/spreadsheetml/2006/main" xmlns:r="http://schemas.openxmlformats.org/officeDocument/2006/relationships">
  <sheetPr>
    <tabColor indexed="13"/>
  </sheetPr>
  <dimension ref="A1:F48"/>
  <sheetViews>
    <sheetView showGridLines="0" zoomScalePageLayoutView="0" workbookViewId="0" topLeftCell="A1">
      <selection activeCell="A1" sqref="A1:E1"/>
    </sheetView>
  </sheetViews>
  <sheetFormatPr defaultColWidth="0" defaultRowHeight="15.75" zeroHeight="1"/>
  <cols>
    <col min="1" max="5" width="20.77734375" style="190" customWidth="1"/>
    <col min="6" max="6" width="3.77734375" style="190" customWidth="1"/>
    <col min="7" max="8" width="9.77734375" style="190" hidden="1" customWidth="1"/>
    <col min="9" max="16384" width="8.88671875" style="190" hidden="1" customWidth="1"/>
  </cols>
  <sheetData>
    <row r="1" spans="1:6" s="146" customFormat="1" ht="19.5">
      <c r="A1" s="607" t="s">
        <v>182</v>
      </c>
      <c r="B1" s="607"/>
      <c r="C1" s="607"/>
      <c r="D1" s="607"/>
      <c r="E1" s="607"/>
      <c r="F1" s="163"/>
    </row>
    <row r="2" spans="1:5" ht="19.5">
      <c r="A2" s="146" t="str">
        <f>"Report Number: "&amp;RptNo</f>
        <v>Report Number: </v>
      </c>
      <c r="C2" s="191"/>
      <c r="E2" s="164" t="str">
        <f>IF(Cal_Date="","Calibration Date","Calibration Date: "&amp;TEXT(Cal_Date,"mmmm d, yyyy"))</f>
        <v>Calibration Date</v>
      </c>
    </row>
    <row r="3" spans="1:5" ht="18.75" thickBot="1">
      <c r="A3" s="193" t="s">
        <v>203</v>
      </c>
      <c r="B3" s="194"/>
      <c r="C3" s="194"/>
      <c r="D3" s="194"/>
      <c r="E3" s="195"/>
    </row>
    <row r="4" spans="1:5" s="192" customFormat="1" ht="63" customHeight="1">
      <c r="A4" s="196" t="s">
        <v>43</v>
      </c>
      <c r="B4" s="196" t="str">
        <f>"Prover Volume
As Found "&amp;IF(AND(RefTempUnit="Designated Reference Temperature For This Calibration (ºC)",NomValUnit="Nominal Volume (L)"),"@ "&amp;RefT&amp;" ºC
and 100 psig
 (L)",IF(AND(RefTempUnit="Designated Reference Temperature For This Calibration (ºF)",NomValUnit="Nominal Volume (L)"),"@ "&amp;RefT&amp;" ºF
and 100 psig
 (L)",IF(AND(RefTempUnit="Designated Reference Temperature For This Calibration (ºC)",NomValUnit="Nominal Volume (gal)"),"@ "&amp;RefT&amp;" ºC
and 100 psig
 (gal)",IF(AND(RefTempUnit="Designated Reference Temperature For This Calibration (ºF)",NomValUnit="Nominal Volume (gal)"),"@ "&amp;RefT&amp;" ºF
and 100 psig
 (gal)"))))</f>
        <v>Prover Volume
As Found FALSE</v>
      </c>
      <c r="C4" s="196" t="str">
        <f>"Prover Volume
As Left "&amp;IF(AND(RefTempUnit="Designated Reference Temperature For This Calibration (ºC)",NomValUnit="Nominal Volume (L)"),"@ "&amp;RefT&amp;" ºC
and 100 psig
 (L)",IF(AND(RefTempUnit="Designated Reference Temperature For This Calibration (ºF)",NomValUnit="Nominal Volume (L)"),"@ "&amp;RefT&amp;" ºF
and 100 psig
 (L)",IF(AND(RefTempUnit="Designated Reference Temperature For This Calibration (ºC)",NomValUnit="Nominal Volume (gal)"),"@ "&amp;RefT&amp;" ºC
and 100 psig
 (gal)",IF(AND(RefTempUnit="Designated Reference Temperature For This Calibration (ºF)",NomValUnit="Nominal Volume (gal)"),"@ "&amp;RefT&amp;" ºF
and 100 psig
 (gal)"))))</f>
        <v>Prover Volume
As Left FALSE</v>
      </c>
      <c r="D4" s="196" t="str">
        <f>IF(NomValUnit="Nominal Volume (L)","NIST HB 105-4
Specification Tolerance
"&amp;CHAR(177)&amp;" (L)","NIST HB 105-4
Specification Tolerance
"&amp;CHAR(177)&amp;" (gal)")</f>
        <v>NIST HB 105-4
Specification Tolerance
± (gal)</v>
      </c>
      <c r="E4" s="196" t="str">
        <f>IF(NomValUnit="Nominal Volume (L)","Uncertainty
(k="&amp;kfactor&amp;")
± (L)","Uncertainty
(k="&amp;kfactor&amp;")
(df="&amp;Eff_df&amp;")
± (gal)")</f>
        <v>Uncertainty
(k=)
(df=)
± (gal)</v>
      </c>
    </row>
    <row r="5" spans="1:5" s="192" customFormat="1" ht="15">
      <c r="A5" s="197">
        <f>IF(Nom_Val="","",IF(NomValUnit="Nominal Volume (L)",Nom_Val&amp;" L",Nom_Val&amp;" gal"))</f>
      </c>
      <c r="B5" s="197">
        <f>IF(AsFound="","",AsFound)</f>
      </c>
      <c r="C5" s="197">
        <f>IF(AsLeft="","",IF(Adjusted="Yes",FIXED(Nom_Val,2-1-INT(LOG10(ABS(Final_U))),TRUE),AsLeft))</f>
      </c>
      <c r="D5" s="197">
        <f>IF(Tolerance="","",Tolerance)</f>
      </c>
      <c r="E5" s="197">
        <f>Unc</f>
      </c>
    </row>
    <row r="6" spans="1:5" s="192" customFormat="1" ht="12" customHeight="1">
      <c r="A6" s="203"/>
      <c r="B6" s="203"/>
      <c r="C6" s="203"/>
      <c r="D6" s="203"/>
      <c r="E6" s="203"/>
    </row>
    <row r="7" spans="1:5" ht="24" customHeight="1" thickBot="1">
      <c r="A7" s="193" t="str">
        <f>IF(NomValUnit="Nominal Volume (L)","Table 1 - LPG Prover Corrections @ "&amp;RefT&amp;" "&amp;MID(Calculations!G27,10,2),"Table 1 - LPG Prover Corrections @ "&amp;RefT&amp;" "&amp;MID(Calculations!G27,10,2))</f>
        <v>Table 1 - LPG Prover Corrections @  </v>
      </c>
      <c r="B7" s="202"/>
      <c r="C7" s="202"/>
      <c r="D7" s="202"/>
      <c r="E7" s="202"/>
    </row>
    <row r="8" spans="1:5" ht="51" customHeight="1">
      <c r="A8" s="200" t="str">
        <f>'Pressure Corrections'!A20</f>
        <v>psig</v>
      </c>
      <c r="B8" s="201" t="str">
        <f>'Pressure Corrections'!B20</f>
        <v>Prover Scale Reading 
(in³)</v>
      </c>
      <c r="C8" s="201" t="str">
        <f>'Pressure Corrections'!C20</f>
        <v>Pressure Correction (Pcorr) 
(in³)</v>
      </c>
      <c r="D8" s="201" t="str">
        <f>IF(Adjusted="Yes",'Pressure Corrections'!D20,'Pressure Corrections'!E20)</f>
        <v>Prover Error 
(Not Adjusted) 
(gal)</v>
      </c>
      <c r="E8" s="201" t="str">
        <f>'Pressure Corrections'!F20</f>
        <v>Prover Volume 
(Not Adjusted) 
(gal)</v>
      </c>
    </row>
    <row r="9" spans="1:5" ht="13.5" customHeight="1">
      <c r="A9" s="204">
        <f>IF(Nom_Val="","",'Pressure Corrections'!A21)</f>
      </c>
      <c r="B9" s="560">
        <f>IF(Nom_Val="","",'Pressure Corrections'!B21)</f>
      </c>
      <c r="C9" s="560">
        <f>IF(Nom_Val="","",FIXED('Pressure Corrections'!C21,2-1-INT(LOG10(ABS(Final_U))),TRUE))</f>
      </c>
      <c r="D9" s="560">
        <f>IF(Nom_Val="","",IF(Adjusted="Yes",FIXED('Pressure Corrections'!D21,2-1-INT(LOG10(ABS(Final_U))),TRUE),FIXED('Pressure Corrections'!E21,2-1-INT(LOG10(ABS(Final_U))),TRUE)))</f>
      </c>
      <c r="E9" s="560">
        <f>IF(Nom_Val="","",FIXED('Pressure Corrections'!F21,2-1-INT(LOG10(ABS(Final_U))),TRUE))</f>
      </c>
    </row>
    <row r="10" spans="1:5" ht="13.5" customHeight="1">
      <c r="A10" s="204">
        <f>IF(Nom_Val="","",'Pressure Corrections'!A22)</f>
      </c>
      <c r="B10" s="560">
        <f>IF(Nom_Val="","",'Pressure Corrections'!B22)</f>
      </c>
      <c r="C10" s="560">
        <f>IF(Nom_Val="","",FIXED('Pressure Corrections'!C22,2-1-INT(LOG10(ABS(Final_U))),TRUE))</f>
      </c>
      <c r="D10" s="560">
        <f>IF(Nom_Val="","",IF(Adjusted="Yes",FIXED('Pressure Corrections'!D22,2-1-INT(LOG10(ABS(Final_U))),TRUE),FIXED('Pressure Corrections'!E22,2-1-INT(LOG10(ABS(Final_U))),TRUE)))</f>
      </c>
      <c r="E10" s="560">
        <f>IF(Nom_Val="","",FIXED('Pressure Corrections'!F22,2-1-INT(LOG10(ABS(Final_U))),TRUE))</f>
      </c>
    </row>
    <row r="11" spans="1:5" ht="13.5" customHeight="1">
      <c r="A11" s="204">
        <f>IF(Nom_Val="","",'Pressure Corrections'!A23)</f>
      </c>
      <c r="B11" s="560">
        <f>IF(Nom_Val="","",'Pressure Corrections'!B23)</f>
      </c>
      <c r="C11" s="560">
        <f>IF(Nom_Val="","",FIXED('Pressure Corrections'!C23,2-1-INT(LOG10(ABS(Final_U))),TRUE))</f>
      </c>
      <c r="D11" s="560">
        <f>IF(Nom_Val="","",IF(Adjusted="Yes",FIXED('Pressure Corrections'!D23,2-1-INT(LOG10(ABS(Final_U))),TRUE),FIXED('Pressure Corrections'!E23,2-1-INT(LOG10(ABS(Final_U))),TRUE)))</f>
      </c>
      <c r="E11" s="560">
        <f>IF(Nom_Val="","",FIXED('Pressure Corrections'!F23,2-1-INT(LOG10(ABS(Final_U))),TRUE))</f>
      </c>
    </row>
    <row r="12" spans="1:5" ht="13.5" customHeight="1">
      <c r="A12" s="204">
        <f>IF(Nom_Val="","",'Pressure Corrections'!A24)</f>
      </c>
      <c r="B12" s="560">
        <f>IF(Nom_Val="","",'Pressure Corrections'!B24)</f>
      </c>
      <c r="C12" s="560">
        <f>IF(Nom_Val="","",FIXED('Pressure Corrections'!C24,2-1-INT(LOG10(ABS(Final_U))),TRUE))</f>
      </c>
      <c r="D12" s="560">
        <f>IF(Nom_Val="","",IF(Adjusted="Yes",FIXED('Pressure Corrections'!D24,2-1-INT(LOG10(ABS(Final_U))),TRUE),FIXED('Pressure Corrections'!E24,2-1-INT(LOG10(ABS(Final_U))),TRUE)))</f>
      </c>
      <c r="E12" s="560">
        <f>IF(Nom_Val="","",FIXED('Pressure Corrections'!F24,2-1-INT(LOG10(ABS(Final_U))),TRUE))</f>
      </c>
    </row>
    <row r="13" spans="1:5" ht="13.5" customHeight="1">
      <c r="A13" s="204">
        <f>IF(Nom_Val="","",'Pressure Corrections'!A25)</f>
      </c>
      <c r="B13" s="560">
        <f>IF(Nom_Val="","",'Pressure Corrections'!B25)</f>
      </c>
      <c r="C13" s="560">
        <f>IF(Nom_Val="","",FIXED('Pressure Corrections'!C25,2-1-INT(LOG10(ABS(Final_U))),TRUE))</f>
      </c>
      <c r="D13" s="560">
        <f>IF(Nom_Val="","",IF(Adjusted="Yes",FIXED('Pressure Corrections'!D25,2-1-INT(LOG10(ABS(Final_U))),TRUE),FIXED('Pressure Corrections'!E25,2-1-INT(LOG10(ABS(Final_U))),TRUE)))</f>
      </c>
      <c r="E13" s="560">
        <f>IF(Nom_Val="","",FIXED('Pressure Corrections'!F25,2-1-INT(LOG10(ABS(Final_U))),TRUE))</f>
      </c>
    </row>
    <row r="14" spans="1:5" ht="13.5" customHeight="1">
      <c r="A14" s="204">
        <f>IF(Nom_Val="","",'Pressure Corrections'!A26)</f>
      </c>
      <c r="B14" s="560">
        <f>IF(Nom_Val="","",'Pressure Corrections'!B26)</f>
      </c>
      <c r="C14" s="560">
        <f>IF(Nom_Val="","",FIXED('Pressure Corrections'!C26,2-1-INT(LOG10(ABS(Final_U))),TRUE))</f>
      </c>
      <c r="D14" s="560">
        <f>IF(Nom_Val="","",IF(Adjusted="Yes",FIXED('Pressure Corrections'!D26,2-1-INT(LOG10(ABS(Final_U))),TRUE),FIXED('Pressure Corrections'!E26,2-1-INT(LOG10(ABS(Final_U))),TRUE)))</f>
      </c>
      <c r="E14" s="560">
        <f>IF(Nom_Val="","",FIXED('Pressure Corrections'!F26,2-1-INT(LOG10(ABS(Final_U))),TRUE))</f>
      </c>
    </row>
    <row r="15" spans="1:5" ht="13.5" customHeight="1">
      <c r="A15" s="204">
        <f>IF(Nom_Val="","",'Pressure Corrections'!A27)</f>
      </c>
      <c r="B15" s="560">
        <f>IF(Nom_Val="","",'Pressure Corrections'!B27)</f>
      </c>
      <c r="C15" s="560">
        <f>IF(Nom_Val="","",FIXED('Pressure Corrections'!C27,2-1-INT(LOG10(ABS(Final_U))),TRUE))</f>
      </c>
      <c r="D15" s="560">
        <f>IF(Nom_Val="","",IF(Adjusted="Yes",FIXED('Pressure Corrections'!D27,2-1-INT(LOG10(ABS(Final_U))),TRUE),FIXED('Pressure Corrections'!E27,2-1-INT(LOG10(ABS(Final_U))),TRUE)))</f>
      </c>
      <c r="E15" s="560">
        <f>IF(Nom_Val="","",FIXED('Pressure Corrections'!F27,2-1-INT(LOG10(ABS(Final_U))),TRUE))</f>
      </c>
    </row>
    <row r="16" spans="1:5" ht="13.5" customHeight="1">
      <c r="A16" s="204">
        <f>IF(Nom_Val="","",'Pressure Corrections'!A28)</f>
      </c>
      <c r="B16" s="560">
        <f>IF(Nom_Val="","",'Pressure Corrections'!B28)</f>
      </c>
      <c r="C16" s="560">
        <f>IF(Nom_Val="","",FIXED('Pressure Corrections'!C28,2-1-INT(LOG10(ABS(Final_U))),TRUE))</f>
      </c>
      <c r="D16" s="560">
        <f>IF(Nom_Val="","",IF(Adjusted="Yes",FIXED('Pressure Corrections'!D28,2-1-INT(LOG10(ABS(Final_U))),TRUE),FIXED('Pressure Corrections'!E28,2-1-INT(LOG10(ABS(Final_U))),TRUE)))</f>
      </c>
      <c r="E16" s="560">
        <f>IF(Nom_Val="","",FIXED('Pressure Corrections'!F28,2-1-INT(LOG10(ABS(Final_U))),TRUE))</f>
      </c>
    </row>
    <row r="17" spans="1:5" ht="13.5" customHeight="1">
      <c r="A17" s="204">
        <f>IF(Nom_Val="","",'Pressure Corrections'!A29)</f>
      </c>
      <c r="B17" s="560">
        <f>IF(Nom_Val="","",'Pressure Corrections'!B29)</f>
      </c>
      <c r="C17" s="560">
        <f>IF(Nom_Val="","",FIXED('Pressure Corrections'!C29,2-1-INT(LOG10(ABS(Final_U))),TRUE))</f>
      </c>
      <c r="D17" s="560">
        <f>IF(Nom_Val="","",IF(Adjusted="Yes",FIXED('Pressure Corrections'!D29,2-1-INT(LOG10(ABS(Final_U))),TRUE),FIXED('Pressure Corrections'!E29,2-1-INT(LOG10(ABS(Final_U))),TRUE)))</f>
      </c>
      <c r="E17" s="560">
        <f>IF(Nom_Val="","",FIXED('Pressure Corrections'!F29,2-1-INT(LOG10(ABS(Final_U))),TRUE))</f>
      </c>
    </row>
    <row r="18" spans="1:5" ht="13.5" customHeight="1">
      <c r="A18" s="204">
        <f>IF(Nom_Val="","",'Pressure Corrections'!A30)</f>
      </c>
      <c r="B18" s="560">
        <f>IF(Nom_Val="","",'Pressure Corrections'!B30)</f>
      </c>
      <c r="C18" s="560">
        <f>IF(Nom_Val="","",FIXED('Pressure Corrections'!C30,2-1-INT(LOG10(ABS(Final_U))),TRUE))</f>
      </c>
      <c r="D18" s="560">
        <f>IF(Nom_Val="","",IF(Adjusted="Yes",FIXED('Pressure Corrections'!D30,2-1-INT(LOG10(ABS(Final_U))),TRUE),FIXED('Pressure Corrections'!E30,2-1-INT(LOG10(ABS(Final_U))),TRUE)))</f>
      </c>
      <c r="E18" s="560">
        <f>IF(Nom_Val="","",FIXED('Pressure Corrections'!F30,2-1-INT(LOG10(ABS(Final_U))),TRUE))</f>
      </c>
    </row>
    <row r="19" spans="1:5" ht="13.5" customHeight="1">
      <c r="A19" s="204">
        <f>IF(Nom_Val="","",'Pressure Corrections'!A31)</f>
      </c>
      <c r="B19" s="560">
        <f>IF(Nom_Val="","",'Pressure Corrections'!B31)</f>
      </c>
      <c r="C19" s="560">
        <f>IF(Nom_Val="","",FIXED('Pressure Corrections'!C31,2-1-INT(LOG10(ABS(Final_U))),TRUE))</f>
      </c>
      <c r="D19" s="560">
        <f>IF(Nom_Val="","",IF(Adjusted="Yes",FIXED('Pressure Corrections'!D31,2-1-INT(LOG10(ABS(Final_U))),TRUE),FIXED('Pressure Corrections'!E31,2-1-INT(LOG10(ABS(Final_U))),TRUE)))</f>
      </c>
      <c r="E19" s="560">
        <f>IF(Nom_Val="","",FIXED('Pressure Corrections'!F31,2-1-INT(LOG10(ABS(Final_U))),TRUE))</f>
      </c>
    </row>
    <row r="20" spans="1:5" ht="13.5" customHeight="1">
      <c r="A20" s="204">
        <f>IF(Nom_Val="","",'Pressure Corrections'!A32)</f>
      </c>
      <c r="B20" s="560">
        <f>IF(Nom_Val="","",'Pressure Corrections'!B32)</f>
      </c>
      <c r="C20" s="560">
        <f>IF(Nom_Val="","",FIXED('Pressure Corrections'!C32,2-1-INT(LOG10(ABS(Final_U))),TRUE))</f>
      </c>
      <c r="D20" s="560">
        <f>IF(Nom_Val="","",IF(Adjusted="Yes",FIXED('Pressure Corrections'!D32,2-1-INT(LOG10(ABS(Final_U))),TRUE),FIXED('Pressure Corrections'!E32,2-1-INT(LOG10(ABS(Final_U))),TRUE)))</f>
      </c>
      <c r="E20" s="560">
        <f>IF(Nom_Val="","",FIXED('Pressure Corrections'!F32,2-1-INT(LOG10(ABS(Final_U))),TRUE))</f>
      </c>
    </row>
    <row r="21" spans="1:5" ht="13.5" customHeight="1">
      <c r="A21" s="204">
        <f>IF(Nom_Val="","",'Pressure Corrections'!A33)</f>
      </c>
      <c r="B21" s="560">
        <f>IF(Nom_Val="","",'Pressure Corrections'!B33)</f>
      </c>
      <c r="C21" s="560">
        <f>IF(Nom_Val="","",FIXED('Pressure Corrections'!C33,2-1-INT(LOG10(ABS(Final_U))),TRUE))</f>
      </c>
      <c r="D21" s="560">
        <f>IF(Nom_Val="","",IF(Adjusted="Yes",FIXED('Pressure Corrections'!D33,2-1-INT(LOG10(ABS(Final_U))),TRUE),FIXED('Pressure Corrections'!E33,2-1-INT(LOG10(ABS(Final_U))),TRUE)))</f>
      </c>
      <c r="E21" s="560">
        <f>IF(Nom_Val="","",FIXED('Pressure Corrections'!F33,2-1-INT(LOG10(ABS(Final_U))),TRUE))</f>
      </c>
    </row>
    <row r="22" spans="1:5" ht="13.5" customHeight="1">
      <c r="A22" s="204">
        <f>IF(Nom_Val="","",'Pressure Corrections'!A34)</f>
      </c>
      <c r="B22" s="560">
        <f>IF(Nom_Val="","",'Pressure Corrections'!B34)</f>
      </c>
      <c r="C22" s="560">
        <f>IF(Nom_Val="","",FIXED('Pressure Corrections'!C34,2-1-INT(LOG10(ABS(Final_U))),TRUE))</f>
      </c>
      <c r="D22" s="560">
        <f>IF(Nom_Val="","",IF(Adjusted="Yes",FIXED('Pressure Corrections'!D34,2-1-INT(LOG10(ABS(Final_U))),TRUE),FIXED('Pressure Corrections'!E34,2-1-INT(LOG10(ABS(Final_U))),TRUE)))</f>
      </c>
      <c r="E22" s="560">
        <f>IF(Nom_Val="","",FIXED('Pressure Corrections'!F34,2-1-INT(LOG10(ABS(Final_U))),TRUE))</f>
      </c>
    </row>
    <row r="23" spans="1:5" ht="13.5" customHeight="1">
      <c r="A23" s="204">
        <f>IF(Nom_Val="","",'Pressure Corrections'!A35)</f>
      </c>
      <c r="B23" s="560">
        <f>IF(Nom_Val="","",'Pressure Corrections'!B35)</f>
      </c>
      <c r="C23" s="560">
        <f>IF(Nom_Val="","",FIXED('Pressure Corrections'!C35,2-1-INT(LOG10(ABS(Final_U))),TRUE))</f>
      </c>
      <c r="D23" s="560">
        <f>IF(Nom_Val="","",IF(Adjusted="Yes",FIXED('Pressure Corrections'!D35,2-1-INT(LOG10(ABS(Final_U))),TRUE),FIXED('Pressure Corrections'!E35,2-1-INT(LOG10(ABS(Final_U))),TRUE)))</f>
      </c>
      <c r="E23" s="560">
        <f>IF(Nom_Val="","",FIXED('Pressure Corrections'!F35,2-1-INT(LOG10(ABS(Final_U))),TRUE))</f>
      </c>
    </row>
    <row r="24" spans="1:5" ht="13.5" customHeight="1">
      <c r="A24" s="204">
        <f>IF(Nom_Val="","",'Pressure Corrections'!A36)</f>
      </c>
      <c r="B24" s="560">
        <f>IF(Nom_Val="","",'Pressure Corrections'!B36)</f>
      </c>
      <c r="C24" s="560">
        <f>IF(Nom_Val="","",FIXED('Pressure Corrections'!C36,2-1-INT(LOG10(ABS(Final_U))),TRUE))</f>
      </c>
      <c r="D24" s="560">
        <f>IF(Nom_Val="","",IF(Adjusted="Yes",FIXED('Pressure Corrections'!D36,2-1-INT(LOG10(ABS(Final_U))),TRUE),FIXED('Pressure Corrections'!E36,2-1-INT(LOG10(ABS(Final_U))),TRUE)))</f>
      </c>
      <c r="E24" s="560">
        <f>IF(Nom_Val="","",FIXED('Pressure Corrections'!F36,2-1-INT(LOG10(ABS(Final_U))),TRUE))</f>
      </c>
    </row>
    <row r="25" spans="1:5" ht="13.5" customHeight="1">
      <c r="A25" s="204">
        <f>IF(Nom_Val="","",'Pressure Corrections'!A37)</f>
      </c>
      <c r="B25" s="560">
        <f>IF(Nom_Val="","",'Pressure Corrections'!B37)</f>
      </c>
      <c r="C25" s="560">
        <f>IF(Nom_Val="","",FIXED('Pressure Corrections'!C37,2-1-INT(LOG10(ABS(Final_U))),TRUE))</f>
      </c>
      <c r="D25" s="560">
        <f>IF(Nom_Val="","",IF(Adjusted="Yes",FIXED('Pressure Corrections'!D37,2-1-INT(LOG10(ABS(Final_U))),TRUE),FIXED('Pressure Corrections'!E37,2-1-INT(LOG10(ABS(Final_U))),TRUE)))</f>
      </c>
      <c r="E25" s="560">
        <f>IF(Nom_Val="","",FIXED('Pressure Corrections'!F37,2-1-INT(LOG10(ABS(Final_U))),TRUE))</f>
      </c>
    </row>
    <row r="26" spans="1:5" ht="13.5" customHeight="1">
      <c r="A26" s="204">
        <f>IF(Nom_Val="","",'Pressure Corrections'!A38)</f>
      </c>
      <c r="B26" s="560">
        <f>IF(Nom_Val="","",'Pressure Corrections'!B38)</f>
      </c>
      <c r="C26" s="560">
        <f>IF(Nom_Val="","",FIXED('Pressure Corrections'!C38,2-1-INT(LOG10(ABS(Final_U))),TRUE))</f>
      </c>
      <c r="D26" s="560">
        <f>IF(Nom_Val="","",IF(Adjusted="Yes",FIXED('Pressure Corrections'!D38,2-1-INT(LOG10(ABS(Final_U))),TRUE),FIXED('Pressure Corrections'!E38,2-1-INT(LOG10(ABS(Final_U))),TRUE)))</f>
      </c>
      <c r="E26" s="560">
        <f>IF(Nom_Val="","",FIXED('Pressure Corrections'!F38,2-1-INT(LOG10(ABS(Final_U))),TRUE))</f>
      </c>
    </row>
    <row r="27" spans="1:5" ht="13.5" customHeight="1">
      <c r="A27" s="204">
        <f>IF(Nom_Val="","",'Pressure Corrections'!A39)</f>
      </c>
      <c r="B27" s="560">
        <f>IF(Nom_Val="","",'Pressure Corrections'!B39)</f>
      </c>
      <c r="C27" s="560">
        <f>IF(Nom_Val="","",FIXED('Pressure Corrections'!C39,2-1-INT(LOG10(ABS(Final_U))),TRUE))</f>
      </c>
      <c r="D27" s="560">
        <f>IF(Nom_Val="","",IF(Adjusted="Yes",FIXED('Pressure Corrections'!D39,2-1-INT(LOG10(ABS(Final_U))),TRUE),FIXED('Pressure Corrections'!E39,2-1-INT(LOG10(ABS(Final_U))),TRUE)))</f>
      </c>
      <c r="E27" s="560">
        <f>IF(Nom_Val="","",FIXED('Pressure Corrections'!F39,2-1-INT(LOG10(ABS(Final_U))),TRUE))</f>
      </c>
    </row>
    <row r="28" spans="1:5" ht="13.5" customHeight="1">
      <c r="A28" s="204">
        <f>IF(Nom_Val="","",'Pressure Corrections'!A40)</f>
      </c>
      <c r="B28" s="560">
        <f>IF(Nom_Val="","",'Pressure Corrections'!B40)</f>
      </c>
      <c r="C28" s="560">
        <f>IF(Nom_Val="","",FIXED('Pressure Corrections'!C40,2-1-INT(LOG10(ABS(Final_U))),TRUE))</f>
      </c>
      <c r="D28" s="560">
        <f>IF(Nom_Val="","",IF(Adjusted="Yes",FIXED('Pressure Corrections'!D40,2-1-INT(LOG10(ABS(Final_U))),TRUE),FIXED('Pressure Corrections'!E40,2-1-INT(LOG10(ABS(Final_U))),TRUE)))</f>
      </c>
      <c r="E28" s="560">
        <f>IF(Nom_Val="","",FIXED('Pressure Corrections'!F40,2-1-INT(LOG10(ABS(Final_U))),TRUE))</f>
      </c>
    </row>
    <row r="29" spans="1:5" ht="13.5" customHeight="1">
      <c r="A29" s="204">
        <f>IF(Nom_Val="","",'Pressure Corrections'!A41)</f>
      </c>
      <c r="B29" s="560">
        <f>IF(Nom_Val="","",'Pressure Corrections'!B41)</f>
      </c>
      <c r="C29" s="560">
        <f>IF(Nom_Val="","",FIXED('Pressure Corrections'!C41,2-1-INT(LOG10(ABS(Final_U))),TRUE))</f>
      </c>
      <c r="D29" s="560">
        <f>IF(Nom_Val="","",IF(Adjusted="Yes",FIXED('Pressure Corrections'!D41,2-1-INT(LOG10(ABS(Final_U))),TRUE),FIXED('Pressure Corrections'!E41,2-1-INT(LOG10(ABS(Final_U))),TRUE)))</f>
      </c>
      <c r="E29" s="560">
        <f>IF(Nom_Val="","",FIXED('Pressure Corrections'!F41,2-1-INT(LOG10(ABS(Final_U))),TRUE))</f>
      </c>
    </row>
    <row r="30" spans="1:5" ht="13.5" customHeight="1">
      <c r="A30" s="48"/>
      <c r="B30" s="198"/>
      <c r="C30" s="198"/>
      <c r="D30" s="198"/>
      <c r="E30" s="199"/>
    </row>
    <row r="31" spans="1:5" ht="24" customHeight="1" thickBot="1">
      <c r="A31" s="193" t="str">
        <f>"Chart 1 - "&amp;C8&amp;IF(NomValUnit="Nominal Volume (L)"," @ "&amp;RefT&amp;" "&amp;MID(Calculations!G27,10,2),IF(NomValUnit="Nominal Volume (gal)"," @ "&amp;RefT&amp;" "&amp;MID(Calculations!G27,10,2),))</f>
        <v>Chart 1 - Pressure Correction (Pcorr) 
(in³)</v>
      </c>
      <c r="B31" s="202"/>
      <c r="C31" s="202"/>
      <c r="D31" s="202"/>
      <c r="E31" s="572" t="str">
        <f>"Correction "&amp;RIGHT(C8,5)</f>
        <v>Correction (in³)</v>
      </c>
    </row>
    <row r="32" spans="1:5" ht="18">
      <c r="A32" s="199"/>
      <c r="B32" s="199"/>
      <c r="C32" s="199"/>
      <c r="D32" s="199"/>
      <c r="E32" s="199"/>
    </row>
    <row r="33" spans="1:5" ht="18">
      <c r="A33" s="199"/>
      <c r="B33" s="199"/>
      <c r="C33" s="199"/>
      <c r="D33" s="199"/>
      <c r="E33" s="199"/>
    </row>
    <row r="34" spans="1:5" ht="18">
      <c r="A34" s="199"/>
      <c r="B34" s="199"/>
      <c r="C34" s="199"/>
      <c r="D34" s="199"/>
      <c r="E34" s="199"/>
    </row>
    <row r="35" spans="1:5" ht="18">
      <c r="A35" s="199"/>
      <c r="B35" s="199"/>
      <c r="C35" s="199"/>
      <c r="D35" s="199"/>
      <c r="E35" s="199"/>
    </row>
    <row r="36" spans="1:5" ht="18">
      <c r="A36" s="199"/>
      <c r="B36" s="199"/>
      <c r="C36" s="199"/>
      <c r="D36" s="199"/>
      <c r="E36" s="199"/>
    </row>
    <row r="37" spans="1:5" ht="18">
      <c r="A37" s="199"/>
      <c r="B37" s="199"/>
      <c r="C37" s="199"/>
      <c r="D37" s="199"/>
      <c r="E37" s="199"/>
    </row>
    <row r="38" spans="1:5" ht="18">
      <c r="A38" s="199"/>
      <c r="B38" s="199"/>
      <c r="C38" s="199"/>
      <c r="D38" s="199"/>
      <c r="E38" s="199"/>
    </row>
    <row r="39" spans="1:5" ht="18">
      <c r="A39" s="199"/>
      <c r="B39" s="199"/>
      <c r="C39" s="199"/>
      <c r="D39" s="199"/>
      <c r="E39" s="199"/>
    </row>
    <row r="40" spans="1:5" ht="18">
      <c r="A40" s="199"/>
      <c r="B40" s="199"/>
      <c r="C40" s="199"/>
      <c r="D40" s="199"/>
      <c r="E40" s="199"/>
    </row>
    <row r="41" spans="1:5" ht="18">
      <c r="A41" s="199"/>
      <c r="B41" s="199"/>
      <c r="C41" s="199"/>
      <c r="D41" s="199"/>
      <c r="E41" s="199"/>
    </row>
    <row r="42" spans="1:5" ht="18">
      <c r="A42" s="199"/>
      <c r="B42" s="199"/>
      <c r="C42" s="199"/>
      <c r="D42" s="199"/>
      <c r="E42" s="199"/>
    </row>
    <row r="43" spans="1:5" ht="18">
      <c r="A43" s="199"/>
      <c r="B43" s="199"/>
      <c r="C43" s="199"/>
      <c r="D43" s="199"/>
      <c r="E43" s="199"/>
    </row>
    <row r="44" spans="1:5" ht="18">
      <c r="A44" s="199"/>
      <c r="B44" s="199"/>
      <c r="C44" s="199"/>
      <c r="D44" s="199"/>
      <c r="E44" s="199"/>
    </row>
    <row r="45" spans="1:5" ht="18">
      <c r="A45" s="199"/>
      <c r="B45" s="199"/>
      <c r="C45" s="199"/>
      <c r="D45" s="199"/>
      <c r="E45" s="199"/>
    </row>
    <row r="46" spans="1:5" ht="18">
      <c r="A46" s="199"/>
      <c r="B46" s="199"/>
      <c r="C46" s="199"/>
      <c r="D46" s="199"/>
      <c r="E46" s="199"/>
    </row>
    <row r="47" spans="1:5" ht="18">
      <c r="A47" s="199"/>
      <c r="B47" s="199"/>
      <c r="C47" s="199"/>
      <c r="D47" s="199"/>
      <c r="E47" s="199"/>
    </row>
    <row r="48" spans="1:5" ht="18">
      <c r="A48" s="199"/>
      <c r="B48" s="199"/>
      <c r="C48" s="199"/>
      <c r="D48" s="199"/>
      <c r="E48" s="199"/>
    </row>
    <row r="49" ht="18"/>
    <row r="50" ht="18"/>
    <row r="51" ht="18"/>
    <row r="52" ht="18"/>
    <row r="53" ht="18"/>
    <row r="54" ht="18"/>
    <row r="55" ht="18" hidden="1"/>
    <row r="56" ht="18" hidden="1"/>
    <row r="57" ht="18" hidden="1"/>
    <row r="58" ht="18" hidden="1"/>
    <row r="59" ht="18" hidden="1"/>
    <row r="60" ht="18" hidden="1"/>
    <row r="61" ht="18" hidden="1"/>
    <row r="62" ht="18" hidden="1"/>
    <row r="63" ht="18" hidden="1"/>
    <row r="64" ht="18" hidden="1"/>
    <row r="65" ht="18" hidden="1"/>
    <row r="66" ht="18" hidden="1"/>
    <row r="67" ht="18" hidden="1"/>
    <row r="68" ht="18" hidden="1"/>
    <row r="69" ht="18" hidden="1"/>
    <row r="70" ht="18" hidden="1"/>
    <row r="71" ht="18" hidden="1"/>
    <row r="72" ht="18" hidden="1"/>
    <row r="73" ht="18" hidden="1"/>
    <row r="74" ht="18" hidden="1"/>
    <row r="75" ht="18" hidden="1"/>
    <row r="76" ht="18" hidden="1"/>
    <row r="77" ht="18" hidden="1"/>
    <row r="78" ht="18" hidden="1"/>
    <row r="79" ht="18" hidden="1"/>
    <row r="80" ht="18" hidden="1"/>
    <row r="81" ht="18" hidden="1"/>
    <row r="82" ht="18" hidden="1"/>
    <row r="83" ht="18" hidden="1"/>
    <row r="84" ht="18" hidden="1"/>
    <row r="85" ht="18" hidden="1"/>
    <row r="86" ht="18" hidden="1"/>
    <row r="87" ht="18" hidden="1"/>
    <row r="88" ht="18" hidden="1"/>
    <row r="89" ht="18" hidden="1"/>
    <row r="90" ht="18" hidden="1"/>
    <row r="91" ht="18" hidden="1"/>
    <row r="92" ht="18" hidden="1"/>
    <row r="93" ht="18" hidden="1"/>
    <row r="94" ht="18" hidden="1"/>
    <row r="95" ht="18" hidden="1"/>
    <row r="96" ht="18" hidden="1"/>
    <row r="97" ht="18" hidden="1"/>
    <row r="98" ht="18" hidden="1"/>
    <row r="99" ht="18" hidden="1"/>
    <row r="100" ht="18" hidden="1"/>
    <row r="101" ht="18" hidden="1"/>
    <row r="102" ht="18" hidden="1"/>
    <row r="103" ht="18" hidden="1"/>
    <row r="104" ht="18" hidden="1"/>
    <row r="105" ht="18" hidden="1"/>
    <row r="106" ht="18" hidden="1"/>
    <row r="107" ht="18" hidden="1"/>
    <row r="108" ht="18" hidden="1"/>
    <row r="109" ht="18" hidden="1"/>
    <row r="110" ht="18" hidden="1"/>
    <row r="111" ht="18" hidden="1"/>
    <row r="112" ht="18" hidden="1"/>
    <row r="113" ht="18" hidden="1"/>
    <row r="114" ht="18" hidden="1"/>
    <row r="115" ht="18" hidden="1"/>
    <row r="116" ht="18" hidden="1"/>
    <row r="117" ht="18" hidden="1"/>
    <row r="118" ht="18" hidden="1"/>
    <row r="119" ht="18" hidden="1"/>
    <row r="120" ht="18" hidden="1"/>
    <row r="121" ht="18" hidden="1"/>
    <row r="122" ht="18" hidden="1"/>
    <row r="123" ht="18" hidden="1"/>
    <row r="124" ht="18" hidden="1"/>
    <row r="125" ht="18" hidden="1"/>
    <row r="126" ht="18" hidden="1"/>
    <row r="127" ht="18" hidden="1"/>
    <row r="128" ht="18" hidden="1"/>
    <row r="129" ht="18" hidden="1"/>
    <row r="130" ht="18" hidden="1"/>
    <row r="131" ht="18" hidden="1"/>
    <row r="132" ht="18" hidden="1"/>
    <row r="133" ht="18" hidden="1"/>
    <row r="134" ht="18" hidden="1"/>
    <row r="135" ht="18" hidden="1"/>
    <row r="136" ht="18" hidden="1"/>
    <row r="137" ht="18" hidden="1"/>
    <row r="138" ht="18" hidden="1"/>
    <row r="139" ht="18" hidden="1"/>
    <row r="140" ht="18" hidden="1"/>
    <row r="141" ht="18" hidden="1"/>
    <row r="142" ht="18" hidden="1"/>
    <row r="143" ht="18" hidden="1"/>
    <row r="144" ht="18" hidden="1"/>
    <row r="145" ht="18" hidden="1"/>
    <row r="146" ht="18" hidden="1"/>
    <row r="147" ht="18" hidden="1"/>
    <row r="148" ht="18" hidden="1"/>
    <row r="149" ht="18" hidden="1"/>
    <row r="150" ht="18" hidden="1"/>
    <row r="151" ht="18" hidden="1"/>
    <row r="152" ht="18" hidden="1"/>
    <row r="153" ht="18" hidden="1"/>
    <row r="154" ht="18" hidden="1"/>
    <row r="155" ht="18" hidden="1"/>
    <row r="156" ht="18" hidden="1"/>
    <row r="157" ht="18" hidden="1"/>
    <row r="158" ht="18" hidden="1"/>
    <row r="159" ht="18" hidden="1"/>
    <row r="160" ht="18" hidden="1"/>
    <row r="161" ht="18" hidden="1"/>
    <row r="162" ht="18" hidden="1"/>
    <row r="163" ht="18" hidden="1"/>
    <row r="164" ht="18" hidden="1"/>
    <row r="165" ht="18" hidden="1"/>
    <row r="166" ht="18" hidden="1"/>
    <row r="167" ht="18" hidden="1"/>
    <row r="168" ht="18" hidden="1"/>
    <row r="169" ht="18" hidden="1"/>
    <row r="170" ht="18" hidden="1"/>
    <row r="171" ht="18" hidden="1"/>
    <row r="172" ht="18" hidden="1"/>
    <row r="173" ht="18" hidden="1"/>
    <row r="174" ht="18" hidden="1"/>
    <row r="175" ht="18" hidden="1"/>
    <row r="176" ht="18" hidden="1"/>
    <row r="177" ht="18" hidden="1"/>
    <row r="178" ht="18" hidden="1"/>
    <row r="179" ht="18" hidden="1"/>
    <row r="180" ht="18" hidden="1"/>
    <row r="181" ht="18" hidden="1"/>
    <row r="182" ht="18" hidden="1"/>
    <row r="183" ht="18" hidden="1"/>
    <row r="184" ht="18" hidden="1"/>
    <row r="185" ht="18" hidden="1"/>
    <row r="186" ht="18" hidden="1"/>
    <row r="187" ht="18" hidden="1"/>
    <row r="188" ht="18" hidden="1"/>
    <row r="189" ht="18" hidden="1"/>
    <row r="190" ht="18" hidden="1"/>
    <row r="191" ht="18" hidden="1"/>
    <row r="192" ht="18" hidden="1"/>
    <row r="193" ht="18" hidden="1"/>
    <row r="194" ht="18" hidden="1"/>
    <row r="195" ht="18" hidden="1"/>
    <row r="196" ht="18" hidden="1"/>
    <row r="197" ht="18" hidden="1"/>
  </sheetData>
  <sheetProtection password="83AF" sheet="1" objects="1" scenarios="1" selectLockedCells="1" selectUnlockedCells="1"/>
  <mergeCells count="1">
    <mergeCell ref="A1:E1"/>
  </mergeCells>
  <conditionalFormatting sqref="B5:B6">
    <cfRule type="expression" priority="1" dxfId="35" stopIfTrue="1">
      <formula>ABS($B$5-Nom_Val)+Unc&gt;ABS($D$5)</formula>
    </cfRule>
  </conditionalFormatting>
  <conditionalFormatting sqref="C5:C6">
    <cfRule type="expression" priority="2" dxfId="35" stopIfTrue="1">
      <formula>ABS($C$5-Nom_Val)+Unc&gt;ABS($D$5)</formula>
    </cfRule>
  </conditionalFormatting>
  <printOptions horizontalCentered="1"/>
  <pageMargins left="0.5" right="0.5" top="0.5" bottom="0.75" header="0.5" footer="0.5"/>
  <pageSetup firstPageNumber="4" useFirstPageNumber="1" horizontalDpi="600" verticalDpi="600" orientation="landscape" r:id="rId2"/>
  <headerFooter alignWithMargins="0">
    <oddFooter>&amp;L&amp;"Trebuchet MS,Regular"&amp;10WAMRF-014, Rev. 29, 10/22/2014&amp;R&amp;"Trebuchet MS,Regular"&amp;10Page &amp;P of 6</oddFooter>
  </headerFooter>
  <rowBreaks count="1" manualBreakCount="1">
    <brk id="30" max="255" man="1"/>
  </rowBreaks>
  <drawing r:id="rId1"/>
</worksheet>
</file>

<file path=xl/worksheets/sheet7.xml><?xml version="1.0" encoding="utf-8"?>
<worksheet xmlns="http://schemas.openxmlformats.org/spreadsheetml/2006/main" xmlns:r="http://schemas.openxmlformats.org/officeDocument/2006/relationships">
  <sheetPr>
    <tabColor indexed="13"/>
  </sheetPr>
  <dimension ref="A1:F48"/>
  <sheetViews>
    <sheetView showGridLines="0" zoomScalePageLayoutView="0" workbookViewId="0" topLeftCell="A1">
      <selection activeCell="A1" sqref="A1:E1"/>
    </sheetView>
  </sheetViews>
  <sheetFormatPr defaultColWidth="0" defaultRowHeight="18" customHeight="1" zeroHeight="1"/>
  <cols>
    <col min="1" max="5" width="14.77734375" style="190" customWidth="1"/>
    <col min="6" max="6" width="3.77734375" style="190" customWidth="1"/>
    <col min="7" max="8" width="9.77734375" style="190" hidden="1" customWidth="1"/>
    <col min="9" max="16384" width="8.88671875" style="190" hidden="1" customWidth="1"/>
  </cols>
  <sheetData>
    <row r="1" spans="1:6" s="146" customFormat="1" ht="19.5">
      <c r="A1" s="607" t="s">
        <v>182</v>
      </c>
      <c r="B1" s="607"/>
      <c r="C1" s="607"/>
      <c r="D1" s="607"/>
      <c r="E1" s="607"/>
      <c r="F1" s="163"/>
    </row>
    <row r="2" spans="1:5" ht="19.5">
      <c r="A2" s="146" t="str">
        <f>"Report Number: "&amp;RptNo</f>
        <v>Report Number: </v>
      </c>
      <c r="C2" s="191"/>
      <c r="E2" s="164" t="str">
        <f>IF(Cal_Date="","Calibration Date","Calibration Date: "&amp;TEXT(Cal_Date,"mmmm d, yyyy"))</f>
        <v>Calibration Date</v>
      </c>
    </row>
    <row r="3" spans="1:5" s="570" customFormat="1" ht="18">
      <c r="A3" s="569"/>
      <c r="E3" s="571"/>
    </row>
    <row r="4" spans="1:5" s="192" customFormat="1" ht="18.75" thickBot="1">
      <c r="A4" s="565" t="s">
        <v>772</v>
      </c>
      <c r="B4" s="566"/>
      <c r="C4" s="566"/>
      <c r="D4"/>
      <c r="E4"/>
    </row>
    <row r="5" spans="1:5" s="192" customFormat="1" ht="15">
      <c r="A5" s="617" t="str">
        <f>IF(RefTempUnit="Designated Reference Temperature For This Calibration (ºC)","Coefficient of Cubical Expansion = "&amp;B&amp;" / ºC","Coefficient of Cubical Expansion = "&amp;B&amp;" / ºF")</f>
        <v>Coefficient of Cubical Expansion =  / ºF</v>
      </c>
      <c r="B5" s="618"/>
      <c r="C5" s="619"/>
      <c r="D5" s="620" t="s">
        <v>771</v>
      </c>
      <c r="E5" s="621"/>
    </row>
    <row r="6" spans="1:5" s="192" customFormat="1" ht="15">
      <c r="A6" s="567" t="str">
        <f>IF(RefTempUnit="Designated Reference Temperature For This Calibration (ºC)","Temperature"&amp;" ºC","Temperature"&amp;" ºF")</f>
        <v>Temperature ºF</v>
      </c>
      <c r="B6" s="567" t="str">
        <f>IF(NomValUnit="Nominal Volume (L)","Correction (mL)","Correction (in³)")</f>
        <v>Correction (in³)</v>
      </c>
      <c r="C6" s="567" t="str">
        <f>IF(NomValUnit="Nominal Volume (L)","Correction (L)","Correction (gal)")</f>
        <v>Correction (gal)</v>
      </c>
      <c r="D6" s="620"/>
      <c r="E6" s="621"/>
    </row>
    <row r="7" spans="1:5" ht="18">
      <c r="A7" s="568">
        <f aca="true" t="shared" si="0" ref="A7:A19">A8-5</f>
        <v>-10</v>
      </c>
      <c r="B7" s="568">
        <f aca="true" t="shared" si="1" ref="B7:B35">IF(NomValUnit="","",IF(NomValUnit="Nominal Volume (L)",FIXED((Nom_Val*(1+(B*(A7-RefT)))-Nom_Val)*1000,1),FIXED((Nom_Val*(1+(B*(A7-RefT)))-Nom_Val)*231,1)))</f>
      </c>
      <c r="C7" s="568">
        <f aca="true" t="shared" si="2" ref="C7:C35">IF(Nom_Val="","",FIXED(Nom_Val*(1+(B*(A7-RefT)))-Nom_Val,2-1-INT(LOG10(ABS(Final_U))),TRUE))</f>
      </c>
      <c r="D7" s="620"/>
      <c r="E7" s="621"/>
    </row>
    <row r="8" spans="1:5" ht="18">
      <c r="A8" s="568">
        <f t="shared" si="0"/>
        <v>-5</v>
      </c>
      <c r="B8" s="568">
        <f t="shared" si="1"/>
      </c>
      <c r="C8" s="568">
        <f t="shared" si="2"/>
      </c>
      <c r="D8" s="620"/>
      <c r="E8" s="621"/>
    </row>
    <row r="9" spans="1:5" ht="18">
      <c r="A9" s="568">
        <f t="shared" si="0"/>
        <v>0</v>
      </c>
      <c r="B9" s="568">
        <f t="shared" si="1"/>
      </c>
      <c r="C9" s="568">
        <f t="shared" si="2"/>
      </c>
      <c r="D9" s="620"/>
      <c r="E9" s="621"/>
    </row>
    <row r="10" spans="1:5" ht="18">
      <c r="A10" s="568">
        <f t="shared" si="0"/>
        <v>5</v>
      </c>
      <c r="B10" s="568">
        <f t="shared" si="1"/>
      </c>
      <c r="C10" s="568">
        <f t="shared" si="2"/>
      </c>
      <c r="D10" s="620"/>
      <c r="E10" s="621"/>
    </row>
    <row r="11" spans="1:5" ht="18">
      <c r="A11" s="568">
        <f t="shared" si="0"/>
        <v>10</v>
      </c>
      <c r="B11" s="568">
        <f t="shared" si="1"/>
      </c>
      <c r="C11" s="568">
        <f t="shared" si="2"/>
      </c>
      <c r="D11" s="620"/>
      <c r="E11" s="621"/>
    </row>
    <row r="12" spans="1:5" ht="18">
      <c r="A12" s="568">
        <f t="shared" si="0"/>
        <v>15</v>
      </c>
      <c r="B12" s="568">
        <f t="shared" si="1"/>
      </c>
      <c r="C12" s="568">
        <f t="shared" si="2"/>
      </c>
      <c r="D12" s="620"/>
      <c r="E12" s="621"/>
    </row>
    <row r="13" spans="1:5" ht="18">
      <c r="A13" s="568">
        <f t="shared" si="0"/>
        <v>20</v>
      </c>
      <c r="B13" s="568">
        <f t="shared" si="1"/>
      </c>
      <c r="C13" s="568">
        <f t="shared" si="2"/>
      </c>
      <c r="D13" s="620"/>
      <c r="E13" s="621"/>
    </row>
    <row r="14" spans="1:5" ht="18">
      <c r="A14" s="568">
        <f t="shared" si="0"/>
        <v>25</v>
      </c>
      <c r="B14" s="568">
        <f t="shared" si="1"/>
      </c>
      <c r="C14" s="568">
        <f t="shared" si="2"/>
      </c>
      <c r="D14" s="620"/>
      <c r="E14" s="621"/>
    </row>
    <row r="15" spans="1:5" ht="18">
      <c r="A15" s="568">
        <f t="shared" si="0"/>
        <v>30</v>
      </c>
      <c r="B15" s="568">
        <f t="shared" si="1"/>
      </c>
      <c r="C15" s="568">
        <f t="shared" si="2"/>
      </c>
      <c r="D15" s="620"/>
      <c r="E15" s="621"/>
    </row>
    <row r="16" spans="1:5" ht="18">
      <c r="A16" s="568">
        <f t="shared" si="0"/>
        <v>35</v>
      </c>
      <c r="B16" s="568">
        <f t="shared" si="1"/>
      </c>
      <c r="C16" s="568">
        <f t="shared" si="2"/>
      </c>
      <c r="D16" s="620"/>
      <c r="E16" s="621"/>
    </row>
    <row r="17" spans="1:5" ht="18">
      <c r="A17" s="568">
        <f t="shared" si="0"/>
        <v>40</v>
      </c>
      <c r="B17" s="568">
        <f t="shared" si="1"/>
      </c>
      <c r="C17" s="568">
        <f t="shared" si="2"/>
      </c>
      <c r="D17" s="620"/>
      <c r="E17" s="621"/>
    </row>
    <row r="18" spans="1:5" ht="18">
      <c r="A18" s="568">
        <f t="shared" si="0"/>
        <v>45</v>
      </c>
      <c r="B18" s="568">
        <f t="shared" si="1"/>
      </c>
      <c r="C18" s="568">
        <f t="shared" si="2"/>
      </c>
      <c r="D18" s="620"/>
      <c r="E18" s="621"/>
    </row>
    <row r="19" spans="1:5" ht="18">
      <c r="A19" s="568">
        <f t="shared" si="0"/>
        <v>50</v>
      </c>
      <c r="B19" s="568">
        <f t="shared" si="1"/>
      </c>
      <c r="C19" s="568">
        <f t="shared" si="2"/>
      </c>
      <c r="D19" s="620"/>
      <c r="E19" s="621"/>
    </row>
    <row r="20" spans="1:5" ht="18">
      <c r="A20" s="568">
        <f>A21-5</f>
        <v>55</v>
      </c>
      <c r="B20" s="568">
        <f t="shared" si="1"/>
      </c>
      <c r="C20" s="568">
        <f t="shared" si="2"/>
      </c>
      <c r="D20" s="620"/>
      <c r="E20" s="621"/>
    </row>
    <row r="21" spans="1:5" ht="18">
      <c r="A21" s="568">
        <f>IF(RefT="",60,RefT)</f>
        <v>60</v>
      </c>
      <c r="B21" s="568">
        <f t="shared" si="1"/>
      </c>
      <c r="C21" s="568">
        <f t="shared" si="2"/>
      </c>
      <c r="D21" s="620"/>
      <c r="E21" s="621"/>
    </row>
    <row r="22" spans="1:5" ht="18">
      <c r="A22" s="568">
        <f>A21+5</f>
        <v>65</v>
      </c>
      <c r="B22" s="568">
        <f t="shared" si="1"/>
      </c>
      <c r="C22" s="568">
        <f t="shared" si="2"/>
      </c>
      <c r="D22" s="620"/>
      <c r="E22" s="621"/>
    </row>
    <row r="23" spans="1:5" ht="18">
      <c r="A23" s="568">
        <f aca="true" t="shared" si="3" ref="A23:A35">A22+5</f>
        <v>70</v>
      </c>
      <c r="B23" s="568">
        <f t="shared" si="1"/>
      </c>
      <c r="C23" s="568">
        <f t="shared" si="2"/>
      </c>
      <c r="D23" s="620"/>
      <c r="E23" s="621"/>
    </row>
    <row r="24" spans="1:5" ht="18">
      <c r="A24" s="568">
        <f t="shared" si="3"/>
        <v>75</v>
      </c>
      <c r="B24" s="568">
        <f t="shared" si="1"/>
      </c>
      <c r="C24" s="568">
        <f t="shared" si="2"/>
      </c>
      <c r="D24" s="620"/>
      <c r="E24" s="621"/>
    </row>
    <row r="25" spans="1:5" ht="18">
      <c r="A25" s="568">
        <f t="shared" si="3"/>
        <v>80</v>
      </c>
      <c r="B25" s="568">
        <f t="shared" si="1"/>
      </c>
      <c r="C25" s="568">
        <f t="shared" si="2"/>
      </c>
      <c r="D25" s="620"/>
      <c r="E25" s="621"/>
    </row>
    <row r="26" spans="1:5" ht="18">
      <c r="A26" s="568">
        <f t="shared" si="3"/>
        <v>85</v>
      </c>
      <c r="B26" s="568">
        <f t="shared" si="1"/>
      </c>
      <c r="C26" s="568">
        <f t="shared" si="2"/>
      </c>
      <c r="D26" s="620"/>
      <c r="E26" s="621"/>
    </row>
    <row r="27" spans="1:5" ht="18">
      <c r="A27" s="568">
        <f t="shared" si="3"/>
        <v>90</v>
      </c>
      <c r="B27" s="568">
        <f t="shared" si="1"/>
      </c>
      <c r="C27" s="568">
        <f t="shared" si="2"/>
      </c>
      <c r="D27" s="620"/>
      <c r="E27" s="621"/>
    </row>
    <row r="28" spans="1:5" ht="18">
      <c r="A28" s="568">
        <f t="shared" si="3"/>
        <v>95</v>
      </c>
      <c r="B28" s="568">
        <f t="shared" si="1"/>
      </c>
      <c r="C28" s="568">
        <f t="shared" si="2"/>
      </c>
      <c r="D28" s="620"/>
      <c r="E28" s="621"/>
    </row>
    <row r="29" spans="1:5" ht="18">
      <c r="A29" s="568">
        <f t="shared" si="3"/>
        <v>100</v>
      </c>
      <c r="B29" s="568">
        <f t="shared" si="1"/>
      </c>
      <c r="C29" s="568">
        <f t="shared" si="2"/>
      </c>
      <c r="D29" s="620"/>
      <c r="E29" s="621"/>
    </row>
    <row r="30" spans="1:5" ht="18">
      <c r="A30" s="568">
        <f t="shared" si="3"/>
        <v>105</v>
      </c>
      <c r="B30" s="568">
        <f t="shared" si="1"/>
      </c>
      <c r="C30" s="568">
        <f t="shared" si="2"/>
      </c>
      <c r="D30" s="620"/>
      <c r="E30" s="621"/>
    </row>
    <row r="31" spans="1:5" ht="18">
      <c r="A31" s="568">
        <f t="shared" si="3"/>
        <v>110</v>
      </c>
      <c r="B31" s="568">
        <f t="shared" si="1"/>
      </c>
      <c r="C31" s="568">
        <f t="shared" si="2"/>
      </c>
      <c r="D31" s="620"/>
      <c r="E31" s="621"/>
    </row>
    <row r="32" spans="1:5" ht="18">
      <c r="A32" s="568">
        <f t="shared" si="3"/>
        <v>115</v>
      </c>
      <c r="B32" s="568">
        <f t="shared" si="1"/>
      </c>
      <c r="C32" s="568">
        <f t="shared" si="2"/>
      </c>
      <c r="D32" s="620"/>
      <c r="E32" s="621"/>
    </row>
    <row r="33" spans="1:5" ht="18">
      <c r="A33" s="568">
        <f t="shared" si="3"/>
        <v>120</v>
      </c>
      <c r="B33" s="568">
        <f t="shared" si="1"/>
      </c>
      <c r="C33" s="568">
        <f t="shared" si="2"/>
      </c>
      <c r="D33" s="620"/>
      <c r="E33" s="621"/>
    </row>
    <row r="34" spans="1:5" ht="18">
      <c r="A34" s="568">
        <f t="shared" si="3"/>
        <v>125</v>
      </c>
      <c r="B34" s="568">
        <f t="shared" si="1"/>
      </c>
      <c r="C34" s="568">
        <f t="shared" si="2"/>
      </c>
      <c r="D34" s="620"/>
      <c r="E34" s="621"/>
    </row>
    <row r="35" spans="1:5" ht="18">
      <c r="A35" s="568">
        <f t="shared" si="3"/>
        <v>130</v>
      </c>
      <c r="B35" s="568">
        <f t="shared" si="1"/>
      </c>
      <c r="C35" s="568">
        <f t="shared" si="2"/>
      </c>
      <c r="D35" s="620"/>
      <c r="E35" s="621"/>
    </row>
    <row r="36" spans="1:5" ht="18">
      <c r="A36" s="199"/>
      <c r="B36" s="199"/>
      <c r="C36" s="199"/>
      <c r="D36"/>
      <c r="E36"/>
    </row>
    <row r="37" spans="1:5" ht="18" hidden="1">
      <c r="A37" s="199"/>
      <c r="B37" s="199"/>
      <c r="C37" s="199"/>
      <c r="D37" s="199"/>
      <c r="E37" s="199"/>
    </row>
    <row r="38" spans="1:5" ht="18" hidden="1">
      <c r="A38" s="199"/>
      <c r="B38" s="199"/>
      <c r="C38" s="199"/>
      <c r="D38" s="199"/>
      <c r="E38" s="199"/>
    </row>
    <row r="39" spans="1:5" ht="18" hidden="1">
      <c r="A39" s="199"/>
      <c r="B39" s="199"/>
      <c r="C39" s="199"/>
      <c r="D39" s="199"/>
      <c r="E39" s="199"/>
    </row>
    <row r="40" spans="1:5" ht="18" hidden="1">
      <c r="A40" s="199"/>
      <c r="B40" s="199"/>
      <c r="C40" s="199"/>
      <c r="D40" s="199"/>
      <c r="E40" s="199"/>
    </row>
    <row r="41" spans="1:5" ht="18" hidden="1">
      <c r="A41" s="199"/>
      <c r="B41" s="199"/>
      <c r="C41" s="199"/>
      <c r="D41" s="199"/>
      <c r="E41" s="199"/>
    </row>
    <row r="42" spans="1:5" ht="18" hidden="1">
      <c r="A42" s="199"/>
      <c r="B42" s="199"/>
      <c r="C42" s="199"/>
      <c r="D42" s="199"/>
      <c r="E42" s="199"/>
    </row>
    <row r="43" spans="1:5" ht="18" hidden="1">
      <c r="A43" s="199"/>
      <c r="B43" s="199"/>
      <c r="C43" s="199"/>
      <c r="D43" s="199"/>
      <c r="E43" s="199"/>
    </row>
    <row r="44" spans="1:5" ht="18" hidden="1">
      <c r="A44" s="199"/>
      <c r="B44" s="199"/>
      <c r="C44" s="199"/>
      <c r="D44" s="199"/>
      <c r="E44" s="199"/>
    </row>
    <row r="45" spans="1:5" ht="18" hidden="1">
      <c r="A45" s="199"/>
      <c r="B45" s="199"/>
      <c r="C45" s="199"/>
      <c r="D45" s="199"/>
      <c r="E45" s="199"/>
    </row>
    <row r="46" spans="1:5" ht="18" hidden="1">
      <c r="A46" s="199"/>
      <c r="B46" s="199"/>
      <c r="C46" s="199"/>
      <c r="D46" s="199"/>
      <c r="E46" s="199"/>
    </row>
    <row r="47" spans="1:5" ht="18" hidden="1">
      <c r="A47" s="199"/>
      <c r="B47" s="199"/>
      <c r="C47" s="199"/>
      <c r="D47" s="199"/>
      <c r="E47" s="199"/>
    </row>
    <row r="48" spans="1:5" ht="18" hidden="1">
      <c r="A48" s="199"/>
      <c r="B48" s="199"/>
      <c r="C48" s="199"/>
      <c r="D48" s="199"/>
      <c r="E48" s="199"/>
    </row>
    <row r="49" ht="18" hidden="1"/>
    <row r="50" ht="18" hidden="1"/>
    <row r="51" ht="18" hidden="1"/>
    <row r="52" ht="18" hidden="1"/>
    <row r="53" ht="18" hidden="1"/>
    <row r="54" ht="18" hidden="1"/>
    <row r="55" ht="18" hidden="1"/>
    <row r="56" ht="18" hidden="1"/>
    <row r="57" ht="18" hidden="1"/>
    <row r="58" ht="18" hidden="1"/>
    <row r="59" ht="18" hidden="1"/>
    <row r="60" ht="18" hidden="1"/>
    <row r="61" ht="18" hidden="1"/>
    <row r="62" ht="18" hidden="1"/>
    <row r="63" ht="18" hidden="1"/>
    <row r="64" ht="18" hidden="1"/>
    <row r="65" ht="18" hidden="1"/>
    <row r="66" ht="18" hidden="1"/>
    <row r="67" ht="18" hidden="1"/>
    <row r="68" ht="18" hidden="1"/>
    <row r="69" ht="18" hidden="1"/>
    <row r="70" ht="18" hidden="1"/>
    <row r="71" ht="18" hidden="1"/>
    <row r="72" ht="18" hidden="1"/>
    <row r="73" ht="18" hidden="1"/>
    <row r="74" ht="18" hidden="1"/>
    <row r="75" ht="18" hidden="1"/>
    <row r="76" ht="18" hidden="1"/>
    <row r="77" ht="18" hidden="1"/>
    <row r="78" ht="18" hidden="1"/>
    <row r="79" ht="18" hidden="1"/>
    <row r="80" ht="18" hidden="1"/>
    <row r="81" ht="18" hidden="1"/>
    <row r="82" ht="18" hidden="1"/>
    <row r="83" ht="18" hidden="1"/>
    <row r="84" ht="18" hidden="1"/>
    <row r="85" ht="18" hidden="1"/>
    <row r="86" ht="18" hidden="1"/>
    <row r="87" ht="18" hidden="1"/>
    <row r="88" ht="18" hidden="1"/>
    <row r="89" ht="18" hidden="1"/>
    <row r="90" ht="18" hidden="1"/>
    <row r="91" ht="18" hidden="1"/>
    <row r="92" ht="18" hidden="1"/>
    <row r="93" ht="18" hidden="1"/>
    <row r="94" ht="18" hidden="1"/>
    <row r="95" ht="18" hidden="1"/>
    <row r="96" ht="18" hidden="1"/>
    <row r="97" ht="18" hidden="1"/>
    <row r="98" ht="18" hidden="1"/>
    <row r="99" ht="18" hidden="1"/>
    <row r="100" ht="18" hidden="1"/>
    <row r="101" ht="18" hidden="1"/>
    <row r="102" ht="18" hidden="1"/>
    <row r="103" ht="18" hidden="1"/>
    <row r="104" ht="18" hidden="1"/>
    <row r="105" ht="18" hidden="1"/>
    <row r="106" ht="18" hidden="1"/>
    <row r="107" ht="18" hidden="1"/>
    <row r="108" ht="18" hidden="1"/>
    <row r="109" ht="18" hidden="1"/>
    <row r="110" ht="18" hidden="1"/>
    <row r="111" ht="18" hidden="1"/>
    <row r="112" ht="18" hidden="1"/>
    <row r="113" ht="18" hidden="1"/>
    <row r="114" ht="18" hidden="1"/>
    <row r="115" ht="18" hidden="1"/>
    <row r="116" ht="18" hidden="1"/>
    <row r="117" ht="18" hidden="1"/>
    <row r="118" ht="18" hidden="1"/>
    <row r="119" ht="18" hidden="1"/>
    <row r="120" ht="18" hidden="1"/>
    <row r="121" ht="18" hidden="1"/>
    <row r="122" ht="18" hidden="1"/>
    <row r="123" ht="18" hidden="1"/>
    <row r="124" ht="18" hidden="1"/>
    <row r="125" ht="18" hidden="1"/>
    <row r="126" ht="18" hidden="1"/>
    <row r="127" ht="18" hidden="1"/>
    <row r="128" ht="18" hidden="1"/>
    <row r="129" ht="18" hidden="1"/>
    <row r="130" ht="18" hidden="1"/>
    <row r="131" ht="18" hidden="1"/>
    <row r="132" ht="18" hidden="1"/>
    <row r="133" ht="18" hidden="1"/>
    <row r="134" ht="18" hidden="1"/>
    <row r="135" ht="18" hidden="1"/>
    <row r="136" ht="18" hidden="1"/>
    <row r="137" ht="18" hidden="1"/>
    <row r="138" ht="18" hidden="1"/>
    <row r="139" ht="18" hidden="1"/>
    <row r="140" ht="18" hidden="1"/>
    <row r="141" ht="18" hidden="1"/>
    <row r="142" ht="18" hidden="1"/>
    <row r="143" ht="18" hidden="1"/>
    <row r="144" ht="18" hidden="1"/>
    <row r="145" ht="18" hidden="1"/>
    <row r="146" ht="18" hidden="1"/>
    <row r="147" ht="18" hidden="1"/>
    <row r="148" ht="18" hidden="1"/>
    <row r="149" ht="18" hidden="1"/>
    <row r="150" ht="18" hidden="1"/>
    <row r="151" ht="18" hidden="1"/>
    <row r="152" ht="18" hidden="1"/>
    <row r="153" ht="18" hidden="1"/>
    <row r="154" ht="18" hidden="1"/>
    <row r="155" ht="18" hidden="1"/>
    <row r="156" ht="18" hidden="1"/>
    <row r="157" ht="18" hidden="1"/>
    <row r="158" ht="18" hidden="1"/>
    <row r="159" ht="18" hidden="1"/>
    <row r="160" ht="18" hidden="1"/>
    <row r="161" ht="18" hidden="1"/>
    <row r="162" ht="18" hidden="1"/>
    <row r="163" ht="18" hidden="1"/>
    <row r="164" ht="18" hidden="1"/>
    <row r="165" ht="18" hidden="1"/>
    <row r="166" ht="18" hidden="1"/>
    <row r="167" ht="18" hidden="1"/>
    <row r="168" ht="18" hidden="1"/>
    <row r="169" ht="18" hidden="1"/>
    <row r="170" ht="18" hidden="1"/>
    <row r="171" ht="18" hidden="1"/>
    <row r="172" ht="18" hidden="1"/>
    <row r="173" ht="18" hidden="1"/>
    <row r="174" ht="18" hidden="1"/>
    <row r="175" ht="18" hidden="1"/>
    <row r="176" ht="18" hidden="1"/>
    <row r="177" ht="18" hidden="1"/>
    <row r="178" ht="18" hidden="1"/>
    <row r="179" ht="18" hidden="1"/>
    <row r="180" ht="18" hidden="1"/>
    <row r="181" ht="18" hidden="1"/>
    <row r="182" ht="18" hidden="1"/>
    <row r="183" ht="18" hidden="1"/>
    <row r="184" ht="18" hidden="1"/>
    <row r="185" ht="18" hidden="1"/>
    <row r="186" ht="18" hidden="1"/>
    <row r="187" ht="18" hidden="1"/>
    <row r="188" ht="18" hidden="1"/>
    <row r="189" ht="18" hidden="1"/>
    <row r="190" ht="18" hidden="1"/>
    <row r="191" ht="18" hidden="1"/>
    <row r="192" ht="18" hidden="1"/>
    <row r="193" ht="18" hidden="1"/>
    <row r="194" ht="18" hidden="1"/>
    <row r="195" ht="18" hidden="1"/>
    <row r="196" ht="18" hidden="1"/>
    <row r="197" ht="18" hidden="1"/>
  </sheetData>
  <sheetProtection password="83AF" sheet="1" objects="1" scenarios="1" selectLockedCells="1" selectUnlockedCells="1"/>
  <mergeCells count="3">
    <mergeCell ref="A1:E1"/>
    <mergeCell ref="A5:C5"/>
    <mergeCell ref="D5:E35"/>
  </mergeCells>
  <printOptions horizontalCentered="1"/>
  <pageMargins left="0.5" right="0.5" top="0.5" bottom="0.5" header="0.5" footer="0.5"/>
  <pageSetup firstPageNumber="6" useFirstPageNumber="1" horizontalDpi="600" verticalDpi="600" orientation="portrait" r:id="rId1"/>
  <headerFooter alignWithMargins="0">
    <oddFooter>&amp;L&amp;"Trebuchet MS,Regular"&amp;10WAMRF-014, Rev. 29, 10/22/2014&amp;R&amp;"Trebuchet MS,Regular"&amp;10Page &amp;P of 6</oddFooter>
  </headerFooter>
</worksheet>
</file>

<file path=xl/worksheets/sheet8.xml><?xml version="1.0" encoding="utf-8"?>
<worksheet xmlns="http://schemas.openxmlformats.org/spreadsheetml/2006/main" xmlns:r="http://schemas.openxmlformats.org/officeDocument/2006/relationships">
  <sheetPr>
    <tabColor rgb="FF669900"/>
  </sheetPr>
  <dimension ref="A1:M112"/>
  <sheetViews>
    <sheetView showGridLines="0" zoomScalePageLayoutView="0" workbookViewId="0" topLeftCell="A1">
      <selection activeCell="I1" sqref="I1:K1"/>
    </sheetView>
  </sheetViews>
  <sheetFormatPr defaultColWidth="0" defaultRowHeight="15.75" zeroHeight="1"/>
  <cols>
    <col min="1" max="1" width="8.5546875" style="98" customWidth="1"/>
    <col min="2" max="2" width="12.77734375" style="98" customWidth="1"/>
    <col min="3" max="11" width="8.5546875" style="98" customWidth="1"/>
    <col min="12" max="12" width="3.77734375" style="98" customWidth="1"/>
    <col min="13" max="16384" width="0" style="98" hidden="1" customWidth="1"/>
  </cols>
  <sheetData>
    <row r="1" spans="1:11" s="97" customFormat="1" ht="21.75" thickBot="1">
      <c r="A1" s="95" t="s">
        <v>85</v>
      </c>
      <c r="B1" s="96"/>
      <c r="C1" s="96"/>
      <c r="D1" s="96"/>
      <c r="E1" s="40"/>
      <c r="F1" s="40"/>
      <c r="G1" s="40"/>
      <c r="H1" s="371" t="s">
        <v>127</v>
      </c>
      <c r="I1" s="660"/>
      <c r="J1" s="660"/>
      <c r="K1" s="660"/>
    </row>
    <row r="2" spans="4:7" ht="12" customHeight="1">
      <c r="D2" s="99"/>
      <c r="E2" s="99"/>
      <c r="F2" s="99"/>
      <c r="G2" s="99"/>
    </row>
    <row r="3" spans="1:11" ht="15.75" customHeight="1" thickBot="1">
      <c r="A3" s="30" t="s">
        <v>0</v>
      </c>
      <c r="B3" s="31"/>
      <c r="C3" s="31"/>
      <c r="D3" s="31"/>
      <c r="E3" s="31"/>
      <c r="F3" s="31"/>
      <c r="G3" s="31"/>
      <c r="H3" s="31"/>
      <c r="I3" s="31"/>
      <c r="J3" s="31"/>
      <c r="K3" s="231"/>
    </row>
    <row r="4" spans="1:11" ht="15.75" customHeight="1">
      <c r="A4" s="637"/>
      <c r="B4" s="638"/>
      <c r="C4" s="638"/>
      <c r="D4" s="638"/>
      <c r="E4" s="638"/>
      <c r="F4" s="638"/>
      <c r="G4" s="639"/>
      <c r="H4" s="661" t="s">
        <v>211</v>
      </c>
      <c r="I4" s="662"/>
      <c r="J4" s="663"/>
      <c r="K4" s="372"/>
    </row>
    <row r="5" spans="1:11" ht="15.75" customHeight="1">
      <c r="A5" s="640"/>
      <c r="B5" s="641"/>
      <c r="C5" s="641"/>
      <c r="D5" s="641"/>
      <c r="E5" s="641"/>
      <c r="F5" s="641"/>
      <c r="G5" s="642"/>
      <c r="H5" s="375" t="s">
        <v>3</v>
      </c>
      <c r="I5" s="627"/>
      <c r="J5" s="628"/>
      <c r="K5" s="646"/>
    </row>
    <row r="6" spans="1:11" ht="15.75" customHeight="1">
      <c r="A6" s="640"/>
      <c r="B6" s="641"/>
      <c r="C6" s="641"/>
      <c r="D6" s="641"/>
      <c r="E6" s="641"/>
      <c r="F6" s="641"/>
      <c r="G6" s="642"/>
      <c r="H6" s="375" t="s">
        <v>1</v>
      </c>
      <c r="I6" s="643"/>
      <c r="J6" s="644"/>
      <c r="K6" s="645"/>
    </row>
    <row r="7" spans="1:11" ht="15.75" customHeight="1">
      <c r="A7" s="640"/>
      <c r="B7" s="641"/>
      <c r="C7" s="641"/>
      <c r="D7" s="641"/>
      <c r="E7" s="641"/>
      <c r="F7" s="641"/>
      <c r="G7" s="642"/>
      <c r="H7" s="374" t="s">
        <v>2</v>
      </c>
      <c r="I7" s="622"/>
      <c r="J7" s="623"/>
      <c r="K7" s="624"/>
    </row>
    <row r="8" spans="1:11" ht="12" customHeight="1">
      <c r="A8" s="100"/>
      <c r="B8" s="100"/>
      <c r="C8" s="100"/>
      <c r="D8" s="100"/>
      <c r="E8" s="100"/>
      <c r="F8" s="100"/>
      <c r="G8" s="100"/>
      <c r="H8" s="100"/>
      <c r="I8" s="100"/>
      <c r="J8" s="100"/>
      <c r="K8" s="100"/>
    </row>
    <row r="9" spans="1:11" ht="15.75" customHeight="1" thickBot="1">
      <c r="A9" s="30" t="s">
        <v>48</v>
      </c>
      <c r="B9" s="31"/>
      <c r="C9" s="31"/>
      <c r="D9" s="31"/>
      <c r="E9" s="31"/>
      <c r="F9" s="31"/>
      <c r="G9" s="31"/>
      <c r="H9" s="31"/>
      <c r="I9" s="31"/>
      <c r="J9" s="31"/>
      <c r="K9" s="31"/>
    </row>
    <row r="10" spans="1:11" ht="16.5" customHeight="1">
      <c r="A10" s="648" t="s">
        <v>8</v>
      </c>
      <c r="B10" s="649"/>
      <c r="C10" s="761" t="s">
        <v>329</v>
      </c>
      <c r="D10" s="762"/>
      <c r="E10" s="762"/>
      <c r="F10" s="763"/>
      <c r="G10" s="661" t="s">
        <v>72</v>
      </c>
      <c r="H10" s="662"/>
      <c r="I10" s="663"/>
      <c r="J10" s="664"/>
      <c r="K10" s="665"/>
    </row>
    <row r="11" spans="1:11" ht="15.75">
      <c r="A11" s="626" t="s">
        <v>4</v>
      </c>
      <c r="B11" s="647"/>
      <c r="C11" s="627"/>
      <c r="D11" s="650"/>
      <c r="E11" s="650"/>
      <c r="F11" s="629"/>
      <c r="G11" s="632" t="s">
        <v>5</v>
      </c>
      <c r="H11" s="633"/>
      <c r="I11" s="634"/>
      <c r="J11" s="627"/>
      <c r="K11" s="646"/>
    </row>
    <row r="12" spans="1:11" ht="15.75" customHeight="1">
      <c r="A12" s="657"/>
      <c r="B12" s="658"/>
      <c r="C12" s="635"/>
      <c r="D12" s="659"/>
      <c r="E12" s="630"/>
      <c r="F12" s="631"/>
      <c r="G12" s="632" t="str">
        <f>IF(NomValUnit="Nominal Volume (gal)","Graduated Neck Volume (gal)","Graduated Neck Volume (L)")</f>
        <v>Graduated Neck Volume (L)</v>
      </c>
      <c r="H12" s="633"/>
      <c r="I12" s="634"/>
      <c r="J12" s="635"/>
      <c r="K12" s="636"/>
    </row>
    <row r="13" spans="1:12" s="97" customFormat="1" ht="15.75">
      <c r="A13" s="626" t="s">
        <v>559</v>
      </c>
      <c r="B13" s="626"/>
      <c r="C13" s="626"/>
      <c r="D13" s="626"/>
      <c r="E13" s="626"/>
      <c r="F13" s="397"/>
      <c r="G13" s="651">
        <f>IF(OR(F13="",F13="Yes"),"","Reject or Issue Neck Scale Correction Value (NSCV)")</f>
      </c>
      <c r="H13" s="652"/>
      <c r="I13" s="652"/>
      <c r="J13" s="652"/>
      <c r="K13" s="653"/>
      <c r="L13" s="98"/>
    </row>
    <row r="14" spans="1:11" ht="15.75">
      <c r="A14" s="626" t="s">
        <v>10</v>
      </c>
      <c r="B14" s="626"/>
      <c r="C14" s="627"/>
      <c r="D14" s="628"/>
      <c r="E14" s="628"/>
      <c r="F14" s="629"/>
      <c r="G14" s="751" t="str">
        <f>IF(RefTempUnit="Designated Reference Temperature For This Calibration (ºC)","CCE (β) (/ ºC) =","CCE (β) (/ ºF) =")</f>
        <v>CCE (β) (/ ºF) =</v>
      </c>
      <c r="H14" s="752"/>
      <c r="I14" s="764">
        <f>IF(Material="","",IF(RefTempUnit="Designated Reference Temperature For This Calibration (ºC)",VLOOKUP(Material,CCE_Table,2)*1.8,VLOOKUP(Material,CCE_Table,2)))</f>
      </c>
      <c r="J14" s="765"/>
      <c r="K14" s="393"/>
    </row>
    <row r="15" spans="1:11" ht="15.75">
      <c r="A15" s="625" t="s">
        <v>561</v>
      </c>
      <c r="B15" s="625"/>
      <c r="C15" s="399"/>
      <c r="D15" s="626" t="s">
        <v>562</v>
      </c>
      <c r="E15" s="626"/>
      <c r="F15" s="626"/>
      <c r="G15" s="399"/>
      <c r="H15" s="626" t="s">
        <v>560</v>
      </c>
      <c r="I15" s="626"/>
      <c r="J15" s="626"/>
      <c r="K15" s="399"/>
    </row>
    <row r="16" spans="1:11" ht="15.75" customHeight="1">
      <c r="A16" s="626" t="s">
        <v>50</v>
      </c>
      <c r="B16" s="626"/>
      <c r="C16" s="655"/>
      <c r="D16" s="766"/>
      <c r="E16" s="766"/>
      <c r="F16" s="766"/>
      <c r="G16" s="656"/>
      <c r="H16" s="626" t="s">
        <v>330</v>
      </c>
      <c r="I16" s="626"/>
      <c r="J16" s="655"/>
      <c r="K16" s="656"/>
    </row>
    <row r="17" spans="1:11" ht="15.75" customHeight="1">
      <c r="A17" s="657"/>
      <c r="B17" s="658"/>
      <c r="C17" s="658"/>
      <c r="D17" s="658"/>
      <c r="E17" s="658"/>
      <c r="F17" s="658"/>
      <c r="G17" s="658"/>
      <c r="H17" s="658"/>
      <c r="I17" s="754"/>
      <c r="J17" s="627"/>
      <c r="K17" s="646"/>
    </row>
    <row r="18" spans="1:11" ht="15.75" customHeight="1">
      <c r="A18" s="632" t="s">
        <v>210</v>
      </c>
      <c r="B18" s="633"/>
      <c r="C18" s="633"/>
      <c r="D18" s="633"/>
      <c r="E18" s="633"/>
      <c r="F18" s="633"/>
      <c r="G18" s="633"/>
      <c r="H18" s="633"/>
      <c r="I18" s="634"/>
      <c r="J18" s="627"/>
      <c r="K18" s="646"/>
    </row>
    <row r="19" spans="1:11" ht="16.5" customHeight="1">
      <c r="A19" s="632" t="str">
        <f>IF(NomValUnit="Nominal Volume (gal)","Process Standard Deviation of Trials from Control Chart (gal)","Process Standard Deviation of Trials from Control Chart (L)")</f>
        <v>Process Standard Deviation of Trials from Control Chart (L)</v>
      </c>
      <c r="B19" s="633"/>
      <c r="C19" s="633"/>
      <c r="D19" s="633"/>
      <c r="E19" s="634"/>
      <c r="F19" s="627"/>
      <c r="G19" s="646"/>
      <c r="H19" s="695" t="s">
        <v>563</v>
      </c>
      <c r="I19" s="696"/>
      <c r="J19" s="697"/>
      <c r="K19" s="394"/>
    </row>
    <row r="20" spans="1:11" ht="15.75" customHeight="1">
      <c r="A20" s="741" t="str">
        <f>IF(NomValUnit="Nominal Volume (gal)","Accredited Best Uncertainty for this Calibration (gal)","Accredited Best Uncertainty for this Calibration (L)")</f>
        <v>Accredited Best Uncertainty for this Calibration (L)</v>
      </c>
      <c r="B20" s="742"/>
      <c r="C20" s="742"/>
      <c r="D20" s="742"/>
      <c r="E20" s="742"/>
      <c r="F20" s="698"/>
      <c r="G20" s="698"/>
      <c r="H20" s="558" t="s">
        <v>485</v>
      </c>
      <c r="I20" s="549"/>
      <c r="J20" s="515" t="s">
        <v>160</v>
      </c>
      <c r="K20" s="549"/>
    </row>
    <row r="21" spans="1:11" ht="15.75" customHeight="1">
      <c r="A21" s="768" t="s">
        <v>51</v>
      </c>
      <c r="B21" s="769"/>
      <c r="C21" s="769"/>
      <c r="D21" s="769"/>
      <c r="E21" s="769"/>
      <c r="F21" s="224"/>
      <c r="G21" s="632" t="s">
        <v>564</v>
      </c>
      <c r="H21" s="633"/>
      <c r="I21" s="633"/>
      <c r="J21" s="634"/>
      <c r="K21" s="225"/>
    </row>
    <row r="22" spans="1:11" ht="15.75" customHeight="1">
      <c r="A22" s="632" t="s">
        <v>132</v>
      </c>
      <c r="B22" s="633"/>
      <c r="C22" s="767"/>
      <c r="D22" s="767"/>
      <c r="E22" s="368" t="s">
        <v>13</v>
      </c>
      <c r="F22" s="748"/>
      <c r="G22" s="749"/>
      <c r="H22" s="750"/>
      <c r="I22" s="701" t="s">
        <v>565</v>
      </c>
      <c r="J22" s="702"/>
      <c r="K22" s="248"/>
    </row>
    <row r="23" ht="12.75"/>
    <row r="24" spans="1:12" s="97" customFormat="1" ht="18.75" thickBot="1">
      <c r="A24" s="234" t="s">
        <v>244</v>
      </c>
      <c r="B24" s="235"/>
      <c r="C24" s="235"/>
      <c r="D24" s="235"/>
      <c r="E24" s="235"/>
      <c r="F24" s="235"/>
      <c r="G24" s="235"/>
      <c r="H24" s="236"/>
      <c r="I24" s="98"/>
      <c r="J24" s="98"/>
      <c r="K24" s="98"/>
      <c r="L24" s="98"/>
    </row>
    <row r="25" spans="1:12" s="97" customFormat="1" ht="30">
      <c r="A25" s="373" t="s">
        <v>245</v>
      </c>
      <c r="B25" s="703" t="s">
        <v>8</v>
      </c>
      <c r="C25" s="704"/>
      <c r="D25" s="704"/>
      <c r="E25" s="705"/>
      <c r="F25" s="770" t="s">
        <v>5</v>
      </c>
      <c r="G25" s="771"/>
      <c r="H25" s="760" t="s">
        <v>246</v>
      </c>
      <c r="I25" s="760"/>
      <c r="J25" s="373" t="s">
        <v>247</v>
      </c>
      <c r="K25" s="373" t="s">
        <v>248</v>
      </c>
      <c r="L25" s="98"/>
    </row>
    <row r="26" spans="1:12" s="97" customFormat="1" ht="15.75">
      <c r="A26" s="349"/>
      <c r="B26" s="706"/>
      <c r="C26" s="706"/>
      <c r="D26" s="706"/>
      <c r="E26" s="706"/>
      <c r="F26" s="689"/>
      <c r="G26" s="689"/>
      <c r="H26" s="689"/>
      <c r="I26" s="689"/>
      <c r="J26" s="550"/>
      <c r="K26" s="559"/>
      <c r="L26" s="98"/>
    </row>
    <row r="27" spans="1:12" s="97" customFormat="1" ht="15.75">
      <c r="A27" s="349"/>
      <c r="B27" s="686"/>
      <c r="C27" s="686"/>
      <c r="D27" s="686"/>
      <c r="E27" s="686"/>
      <c r="F27" s="689"/>
      <c r="G27" s="689"/>
      <c r="H27" s="689"/>
      <c r="I27" s="689"/>
      <c r="J27" s="550"/>
      <c r="K27" s="559"/>
      <c r="L27" s="98"/>
    </row>
    <row r="28" spans="1:12" s="97" customFormat="1" ht="15.75">
      <c r="A28" s="349"/>
      <c r="B28" s="686"/>
      <c r="C28" s="686"/>
      <c r="D28" s="686"/>
      <c r="E28" s="686"/>
      <c r="F28" s="689"/>
      <c r="G28" s="689"/>
      <c r="H28" s="689"/>
      <c r="I28" s="689"/>
      <c r="J28" s="550"/>
      <c r="K28" s="559"/>
      <c r="L28" s="98"/>
    </row>
    <row r="29" spans="1:12" s="97" customFormat="1" ht="15.75">
      <c r="A29" s="349"/>
      <c r="B29" s="686"/>
      <c r="C29" s="686"/>
      <c r="D29" s="686"/>
      <c r="E29" s="686"/>
      <c r="F29" s="689"/>
      <c r="G29" s="689"/>
      <c r="H29" s="689"/>
      <c r="I29" s="689"/>
      <c r="J29" s="550"/>
      <c r="K29" s="551"/>
      <c r="L29" s="98"/>
    </row>
    <row r="30" spans="1:12" s="97" customFormat="1" ht="15.75">
      <c r="A30" s="349"/>
      <c r="B30" s="686"/>
      <c r="C30" s="686"/>
      <c r="D30" s="686"/>
      <c r="E30" s="686"/>
      <c r="F30" s="689"/>
      <c r="G30" s="689"/>
      <c r="H30" s="689"/>
      <c r="I30" s="689"/>
      <c r="J30" s="550"/>
      <c r="K30" s="551"/>
      <c r="L30" s="98"/>
    </row>
    <row r="31" spans="1:12" s="97" customFormat="1" ht="15.75">
      <c r="A31" s="349"/>
      <c r="B31" s="686"/>
      <c r="C31" s="686"/>
      <c r="D31" s="686"/>
      <c r="E31" s="686"/>
      <c r="F31" s="689"/>
      <c r="G31" s="689"/>
      <c r="H31" s="689"/>
      <c r="I31" s="689"/>
      <c r="J31" s="550"/>
      <c r="K31" s="551"/>
      <c r="L31" s="98"/>
    </row>
    <row r="32" spans="1:12" s="97" customFormat="1" ht="15.75">
      <c r="A32" s="349"/>
      <c r="B32" s="686"/>
      <c r="C32" s="686"/>
      <c r="D32" s="686"/>
      <c r="E32" s="686"/>
      <c r="F32" s="689"/>
      <c r="G32" s="689"/>
      <c r="H32" s="689"/>
      <c r="I32" s="689"/>
      <c r="J32" s="550"/>
      <c r="K32" s="551"/>
      <c r="L32" s="98"/>
    </row>
    <row r="33" spans="1:12" s="97" customFormat="1" ht="15.75">
      <c r="A33" s="349"/>
      <c r="B33" s="686"/>
      <c r="C33" s="686"/>
      <c r="D33" s="686"/>
      <c r="E33" s="686"/>
      <c r="F33" s="689"/>
      <c r="G33" s="689"/>
      <c r="H33" s="689"/>
      <c r="I33" s="689"/>
      <c r="J33" s="550"/>
      <c r="K33" s="551"/>
      <c r="L33" s="98"/>
    </row>
    <row r="34" ht="12.75"/>
    <row r="35" spans="1:11" ht="15.75" customHeight="1" thickBot="1">
      <c r="A35" s="30" t="s">
        <v>49</v>
      </c>
      <c r="B35" s="31"/>
      <c r="C35" s="31"/>
      <c r="D35" s="31"/>
      <c r="E35" s="31"/>
      <c r="F35" s="31"/>
      <c r="G35" s="31"/>
      <c r="H35" s="31"/>
      <c r="I35" s="31"/>
      <c r="J35" s="31"/>
      <c r="K35" s="31"/>
    </row>
    <row r="36" spans="1:11" s="101" customFormat="1" ht="46.5" customHeight="1">
      <c r="A36" s="395" t="s">
        <v>7</v>
      </c>
      <c r="B36" s="707" t="s">
        <v>8</v>
      </c>
      <c r="C36" s="708"/>
      <c r="D36" s="709"/>
      <c r="E36" s="396" t="s">
        <v>26</v>
      </c>
      <c r="F36" s="687" t="str">
        <f>IF(NomValUnit="Nominal Volume (L)","Volume (Vs @ trefs) 
(L)","Volume (Vs @ trefs) 
(gal)")</f>
        <v>Volume (Vs @ trefs) 
(gal)</v>
      </c>
      <c r="G36" s="688"/>
      <c r="H36" s="687" t="str">
        <f>IF(NomValUnit="Nominal Volume (L)","Unc
(L)","Unc
(gal)")</f>
        <v>Unc
(gal)</v>
      </c>
      <c r="I36" s="688"/>
      <c r="J36" s="396" t="s">
        <v>6</v>
      </c>
      <c r="K36" s="396" t="s">
        <v>160</v>
      </c>
    </row>
    <row r="37" spans="1:11" s="101" customFormat="1" ht="14.25">
      <c r="A37" s="226"/>
      <c r="B37" s="710"/>
      <c r="C37" s="710"/>
      <c r="D37" s="710"/>
      <c r="E37" s="547"/>
      <c r="F37" s="691">
        <v>0</v>
      </c>
      <c r="G37" s="691"/>
      <c r="H37" s="699">
        <v>0</v>
      </c>
      <c r="I37" s="699"/>
      <c r="J37" s="556">
        <v>1</v>
      </c>
      <c r="K37" s="556">
        <v>1</v>
      </c>
    </row>
    <row r="38" spans="1:11" s="101" customFormat="1" ht="14.25">
      <c r="A38" s="226"/>
      <c r="B38" s="693"/>
      <c r="C38" s="693"/>
      <c r="D38" s="693"/>
      <c r="E38" s="548"/>
      <c r="F38" s="692">
        <v>0</v>
      </c>
      <c r="G38" s="692"/>
      <c r="H38" s="690">
        <v>0</v>
      </c>
      <c r="I38" s="690"/>
      <c r="J38" s="557">
        <v>1</v>
      </c>
      <c r="K38" s="557">
        <v>1</v>
      </c>
    </row>
    <row r="39" spans="1:11" ht="15.75" customHeight="1">
      <c r="A39" s="226"/>
      <c r="B39" s="693"/>
      <c r="C39" s="693"/>
      <c r="D39" s="693"/>
      <c r="E39" s="548"/>
      <c r="F39" s="692">
        <v>0</v>
      </c>
      <c r="G39" s="692"/>
      <c r="H39" s="690">
        <v>0</v>
      </c>
      <c r="I39" s="690"/>
      <c r="J39" s="557">
        <v>1</v>
      </c>
      <c r="K39" s="557">
        <v>1</v>
      </c>
    </row>
    <row r="40" spans="1:11" ht="15.75" customHeight="1">
      <c r="A40" s="226"/>
      <c r="B40" s="693"/>
      <c r="C40" s="693"/>
      <c r="D40" s="693"/>
      <c r="E40" s="548"/>
      <c r="F40" s="692">
        <v>0</v>
      </c>
      <c r="G40" s="692"/>
      <c r="H40" s="690">
        <v>0</v>
      </c>
      <c r="I40" s="690"/>
      <c r="J40" s="557">
        <v>1</v>
      </c>
      <c r="K40" s="557">
        <v>1</v>
      </c>
    </row>
    <row r="41" spans="1:11" ht="12" customHeight="1">
      <c r="A41" s="57"/>
      <c r="B41" s="57"/>
      <c r="C41" s="57"/>
      <c r="D41" s="57"/>
      <c r="E41" s="57"/>
      <c r="F41" s="57"/>
      <c r="G41" s="57"/>
      <c r="H41" s="57"/>
      <c r="I41" s="57"/>
      <c r="J41" s="57"/>
      <c r="K41" s="57"/>
    </row>
    <row r="42" spans="1:11" ht="60">
      <c r="A42" s="398" t="s">
        <v>7</v>
      </c>
      <c r="B42" s="747" t="s">
        <v>8</v>
      </c>
      <c r="C42" s="747"/>
      <c r="D42" s="747"/>
      <c r="E42" s="398" t="str">
        <f>IF(RefTempUnit="Designated Reference Temperature For This Calibration (ºC)","Std. Ref. Temp. (trefS ºC)","Std. Ref. Temp. (trefS ºF)")</f>
        <v>Std. Ref. Temp. (trefS ºF)</v>
      </c>
      <c r="F42" s="758" t="str">
        <f>IF(RefTempUnit="Designated Reference Temperature For This Calibration (ºC)","CCE (α)
(/ ºC)","CCE (α)
(/ ºF)")</f>
        <v>CCE (α)
(/ ºF)</v>
      </c>
      <c r="G42" s="758"/>
      <c r="H42" s="398" t="str">
        <f>"Graduated Neck Volume "&amp;IF(NomValUnit="Nominal Volume (L)","(L)","(gal)")</f>
        <v>Graduated Neck Volume (gal)</v>
      </c>
      <c r="I42" s="398" t="str">
        <f>"Inside Neck Diameter (mm)"</f>
        <v>Inside Neck Diameter (mm)</v>
      </c>
      <c r="J42" s="398" t="str">
        <f>"Sight Glass Inside Dia. (mm)"</f>
        <v>Sight Glass Inside Dia. (mm)</v>
      </c>
      <c r="K42" s="398" t="str">
        <f>"Graduation Line Width (mm)"</f>
        <v>Graduation Line Width (mm)</v>
      </c>
    </row>
    <row r="43" spans="1:11" ht="14.25" customHeight="1">
      <c r="A43" s="385">
        <f aca="true" t="shared" si="0" ref="A43:B46">IF(A37="","",A37)</f>
      </c>
      <c r="B43" s="700">
        <f t="shared" si="0"/>
      </c>
      <c r="C43" s="700"/>
      <c r="D43" s="700"/>
      <c r="E43" s="552">
        <v>0</v>
      </c>
      <c r="F43" s="691">
        <v>0</v>
      </c>
      <c r="G43" s="691"/>
      <c r="H43" s="553">
        <v>0</v>
      </c>
      <c r="I43" s="553">
        <v>0</v>
      </c>
      <c r="J43" s="553">
        <v>0</v>
      </c>
      <c r="K43" s="553">
        <v>0</v>
      </c>
    </row>
    <row r="44" spans="1:11" ht="14.25" customHeight="1">
      <c r="A44" s="400">
        <f t="shared" si="0"/>
      </c>
      <c r="B44" s="700">
        <f t="shared" si="0"/>
      </c>
      <c r="C44" s="700"/>
      <c r="D44" s="700"/>
      <c r="E44" s="554">
        <v>0</v>
      </c>
      <c r="F44" s="692">
        <v>0</v>
      </c>
      <c r="G44" s="692"/>
      <c r="H44" s="555">
        <v>0</v>
      </c>
      <c r="I44" s="555">
        <v>0</v>
      </c>
      <c r="J44" s="555">
        <v>0</v>
      </c>
      <c r="K44" s="555">
        <v>0</v>
      </c>
    </row>
    <row r="45" spans="1:11" ht="14.25" customHeight="1">
      <c r="A45" s="400">
        <f t="shared" si="0"/>
      </c>
      <c r="B45" s="700">
        <f t="shared" si="0"/>
      </c>
      <c r="C45" s="700"/>
      <c r="D45" s="700"/>
      <c r="E45" s="554">
        <v>0</v>
      </c>
      <c r="F45" s="692">
        <v>0</v>
      </c>
      <c r="G45" s="692"/>
      <c r="H45" s="555">
        <v>0</v>
      </c>
      <c r="I45" s="555">
        <v>0</v>
      </c>
      <c r="J45" s="555">
        <v>0</v>
      </c>
      <c r="K45" s="555">
        <v>0</v>
      </c>
    </row>
    <row r="46" spans="1:11" ht="14.25" customHeight="1">
      <c r="A46" s="400">
        <f t="shared" si="0"/>
      </c>
      <c r="B46" s="700">
        <f t="shared" si="0"/>
      </c>
      <c r="C46" s="700"/>
      <c r="D46" s="700"/>
      <c r="E46" s="554">
        <v>0</v>
      </c>
      <c r="F46" s="692">
        <v>0</v>
      </c>
      <c r="G46" s="692"/>
      <c r="H46" s="555">
        <v>0</v>
      </c>
      <c r="I46" s="555">
        <v>0</v>
      </c>
      <c r="J46" s="555">
        <v>0</v>
      </c>
      <c r="K46" s="555">
        <v>0</v>
      </c>
    </row>
    <row r="47" spans="1:11" ht="12" customHeight="1">
      <c r="A47" s="57"/>
      <c r="B47" s="57"/>
      <c r="C47" s="57"/>
      <c r="D47" s="57"/>
      <c r="E47" s="57"/>
      <c r="F47" s="57"/>
      <c r="G47" s="57"/>
      <c r="H47" s="57"/>
      <c r="I47" s="57"/>
      <c r="J47" s="57"/>
      <c r="K47" s="57"/>
    </row>
    <row r="48" spans="1:11" s="58" customFormat="1" ht="15.75" customHeight="1" thickBot="1">
      <c r="A48" s="30" t="s">
        <v>52</v>
      </c>
      <c r="B48" s="31"/>
      <c r="C48" s="31"/>
      <c r="D48" s="31"/>
      <c r="E48" s="31"/>
      <c r="F48" s="106"/>
      <c r="G48" s="106"/>
      <c r="H48" s="106"/>
      <c r="I48" s="105"/>
      <c r="J48" s="105"/>
      <c r="K48" s="105"/>
    </row>
    <row r="49" spans="1:11" s="58" customFormat="1" ht="45" customHeight="1">
      <c r="A49" s="711" t="s">
        <v>8</v>
      </c>
      <c r="B49" s="712"/>
      <c r="C49" s="712"/>
      <c r="D49" s="713"/>
      <c r="E49" s="386" t="s">
        <v>7</v>
      </c>
      <c r="F49" s="759" t="s">
        <v>86</v>
      </c>
      <c r="G49" s="759"/>
      <c r="H49" s="759" t="s">
        <v>486</v>
      </c>
      <c r="I49" s="759"/>
      <c r="J49" s="759" t="s">
        <v>485</v>
      </c>
      <c r="K49" s="759"/>
    </row>
    <row r="50" spans="1:11" s="58" customFormat="1" ht="15.75" customHeight="1">
      <c r="A50" s="649" t="s">
        <v>566</v>
      </c>
      <c r="B50" s="649"/>
      <c r="C50" s="649"/>
      <c r="D50" s="649"/>
      <c r="E50" s="350"/>
      <c r="F50" s="694"/>
      <c r="G50" s="694"/>
      <c r="H50" s="694"/>
      <c r="I50" s="694"/>
      <c r="J50" s="753"/>
      <c r="K50" s="753"/>
    </row>
    <row r="51" spans="1:11" s="57" customFormat="1" ht="15.75" customHeight="1">
      <c r="A51" s="647" t="s">
        <v>567</v>
      </c>
      <c r="B51" s="647"/>
      <c r="C51" s="647"/>
      <c r="D51" s="647"/>
      <c r="E51" s="350"/>
      <c r="F51" s="694"/>
      <c r="G51" s="694"/>
      <c r="H51" s="694"/>
      <c r="I51" s="694"/>
      <c r="J51" s="753"/>
      <c r="K51" s="753"/>
    </row>
    <row r="52" s="57" customFormat="1" ht="12" customHeight="1"/>
    <row r="53" spans="1:11" s="58" customFormat="1" ht="15.75" customHeight="1" thickBot="1">
      <c r="A53" s="30" t="s">
        <v>12</v>
      </c>
      <c r="B53" s="31"/>
      <c r="C53" s="31"/>
      <c r="D53" s="31"/>
      <c r="E53" s="31"/>
      <c r="F53" s="31"/>
      <c r="G53" s="31"/>
      <c r="K53" s="231"/>
    </row>
    <row r="54" spans="1:11" ht="15.75" customHeight="1">
      <c r="A54" s="205" t="s">
        <v>208</v>
      </c>
      <c r="B54" s="626" t="s">
        <v>89</v>
      </c>
      <c r="C54" s="647"/>
      <c r="D54" s="367"/>
      <c r="E54" s="626" t="s">
        <v>11</v>
      </c>
      <c r="F54" s="647"/>
      <c r="G54" s="366"/>
      <c r="K54" s="233"/>
    </row>
    <row r="55" s="57" customFormat="1" ht="12" customHeight="1"/>
    <row r="56" spans="1:11" s="57" customFormat="1" ht="15.75" customHeight="1" thickBot="1">
      <c r="A56" s="30" t="s">
        <v>19</v>
      </c>
      <c r="B56" s="31"/>
      <c r="C56" s="31"/>
      <c r="D56" s="31"/>
      <c r="E56" s="31"/>
      <c r="F56" s="31"/>
      <c r="G56" s="31"/>
      <c r="H56" s="31"/>
      <c r="I56" s="31"/>
      <c r="J56" s="31"/>
      <c r="K56" s="231"/>
    </row>
    <row r="57" spans="1:11" s="57" customFormat="1" ht="15.75" customHeight="1">
      <c r="A57" s="721" t="s">
        <v>16</v>
      </c>
      <c r="B57" s="722"/>
      <c r="C57" s="722"/>
      <c r="D57" s="722"/>
      <c r="E57" s="723"/>
      <c r="F57" s="745" t="s">
        <v>18</v>
      </c>
      <c r="G57" s="722"/>
      <c r="H57" s="722"/>
      <c r="I57" s="722"/>
      <c r="J57" s="746"/>
      <c r="K57"/>
    </row>
    <row r="58" spans="1:11" s="57" customFormat="1" ht="45">
      <c r="A58" s="376" t="s">
        <v>17</v>
      </c>
      <c r="B58" s="376" t="s">
        <v>87</v>
      </c>
      <c r="C58" s="376" t="str">
        <f>IF(NomValUnit="Nominal Volume (L)","Volume 
(Vs @ tref) 
(L)","Volume 
(Vs @ tref) 
(gal)")</f>
        <v>Volume 
(Vs @ tref) 
(gal)</v>
      </c>
      <c r="D58" s="376" t="s">
        <v>88</v>
      </c>
      <c r="E58" s="377" t="str">
        <f>IF(NomValUnit="Nominal Volume (L)","Delta (Δ)
(mL)","Delta (Δ)
(in³)")</f>
        <v>Delta (Δ)
(in³)</v>
      </c>
      <c r="F58" s="387" t="s">
        <v>17</v>
      </c>
      <c r="G58" s="376" t="s">
        <v>87</v>
      </c>
      <c r="H58" s="376" t="str">
        <f>IF(NomValUnit="Nominal Volume (L)","Volume 
(Vs @ tref) 
(L)","Volume 
(Vs @ tref) 
(gal)")</f>
        <v>Volume 
(Vs @ tref) 
(gal)</v>
      </c>
      <c r="I58" s="376" t="s">
        <v>88</v>
      </c>
      <c r="J58" s="376" t="str">
        <f>IF(NomValUnit="Nominal Volume (L)","Delta (Δ)
(mL)","Delta (Δ)
(in³)")</f>
        <v>Delta (Δ)
(in³)</v>
      </c>
      <c r="K58"/>
    </row>
    <row r="59" spans="1:11" s="57" customFormat="1" ht="15.75" customHeight="1">
      <c r="A59" s="378">
        <v>1</v>
      </c>
      <c r="B59" s="226"/>
      <c r="C59" s="380">
        <f aca="true" t="shared" si="1" ref="C59:C73">IF(B59="","",VLOOKUP(B59,Standards_Table_A,6,FALSE))</f>
      </c>
      <c r="D59" s="226"/>
      <c r="E59" s="228"/>
      <c r="F59" s="381">
        <v>1</v>
      </c>
      <c r="G59" s="226"/>
      <c r="H59" s="380">
        <f aca="true" t="shared" si="2" ref="H59:H73">IF(G59="","",VLOOKUP(G59,Standards_Table_A,6,FALSE))</f>
      </c>
      <c r="I59" s="226"/>
      <c r="J59" s="226"/>
      <c r="K59"/>
    </row>
    <row r="60" spans="1:11" s="57" customFormat="1" ht="15.75" customHeight="1">
      <c r="A60" s="379">
        <v>2</v>
      </c>
      <c r="B60" s="226"/>
      <c r="C60" s="380">
        <f t="shared" si="1"/>
      </c>
      <c r="D60" s="226"/>
      <c r="E60" s="228"/>
      <c r="F60" s="382">
        <v>2</v>
      </c>
      <c r="G60" s="226"/>
      <c r="H60" s="380">
        <f t="shared" si="2"/>
      </c>
      <c r="I60" s="226"/>
      <c r="J60" s="226"/>
      <c r="K60"/>
    </row>
    <row r="61" spans="1:11" s="57" customFormat="1" ht="15.75" customHeight="1">
      <c r="A61" s="379">
        <v>3</v>
      </c>
      <c r="B61" s="226"/>
      <c r="C61" s="380">
        <f t="shared" si="1"/>
      </c>
      <c r="D61" s="227"/>
      <c r="E61" s="228"/>
      <c r="F61" s="382">
        <v>3</v>
      </c>
      <c r="G61" s="226"/>
      <c r="H61" s="380">
        <f t="shared" si="2"/>
      </c>
      <c r="I61" s="227"/>
      <c r="J61" s="226"/>
      <c r="K61"/>
    </row>
    <row r="62" spans="1:11" s="57" customFormat="1" ht="15.75" customHeight="1">
      <c r="A62" s="379">
        <v>4</v>
      </c>
      <c r="B62" s="226"/>
      <c r="C62" s="380">
        <f t="shared" si="1"/>
      </c>
      <c r="D62" s="227"/>
      <c r="E62" s="229"/>
      <c r="F62" s="382">
        <v>4</v>
      </c>
      <c r="G62" s="226"/>
      <c r="H62" s="380">
        <f t="shared" si="2"/>
      </c>
      <c r="I62" s="227"/>
      <c r="J62" s="227"/>
      <c r="K62"/>
    </row>
    <row r="63" spans="1:11" s="57" customFormat="1" ht="15.75" customHeight="1">
      <c r="A63" s="379">
        <v>5</v>
      </c>
      <c r="B63" s="227"/>
      <c r="C63" s="380">
        <f t="shared" si="1"/>
      </c>
      <c r="D63" s="227"/>
      <c r="E63" s="229"/>
      <c r="F63" s="382">
        <v>5</v>
      </c>
      <c r="G63" s="227"/>
      <c r="H63" s="380">
        <f t="shared" si="2"/>
      </c>
      <c r="I63" s="227"/>
      <c r="J63" s="227"/>
      <c r="K63"/>
    </row>
    <row r="64" spans="1:11" s="102" customFormat="1" ht="15.75" customHeight="1">
      <c r="A64" s="379">
        <v>6</v>
      </c>
      <c r="B64" s="227"/>
      <c r="C64" s="380">
        <f t="shared" si="1"/>
      </c>
      <c r="D64" s="227"/>
      <c r="E64" s="229"/>
      <c r="F64" s="382">
        <v>6</v>
      </c>
      <c r="G64" s="227"/>
      <c r="H64" s="380">
        <f t="shared" si="2"/>
      </c>
      <c r="I64" s="227"/>
      <c r="J64" s="227"/>
      <c r="K64"/>
    </row>
    <row r="65" spans="1:11" s="102" customFormat="1" ht="15.75" customHeight="1">
      <c r="A65" s="379">
        <v>7</v>
      </c>
      <c r="B65" s="227"/>
      <c r="C65" s="380">
        <f t="shared" si="1"/>
      </c>
      <c r="D65" s="227"/>
      <c r="E65" s="229"/>
      <c r="F65" s="382">
        <v>7</v>
      </c>
      <c r="G65" s="227"/>
      <c r="H65" s="380">
        <f t="shared" si="2"/>
      </c>
      <c r="I65" s="227"/>
      <c r="J65" s="227"/>
      <c r="K65"/>
    </row>
    <row r="66" spans="1:11" s="102" customFormat="1" ht="15.75" customHeight="1">
      <c r="A66" s="379">
        <v>8</v>
      </c>
      <c r="B66" s="227"/>
      <c r="C66" s="380">
        <f t="shared" si="1"/>
      </c>
      <c r="D66" s="227"/>
      <c r="E66" s="229"/>
      <c r="F66" s="382">
        <v>8</v>
      </c>
      <c r="G66" s="227"/>
      <c r="H66" s="380">
        <f t="shared" si="2"/>
      </c>
      <c r="I66" s="227"/>
      <c r="J66" s="227"/>
      <c r="K66"/>
    </row>
    <row r="67" spans="1:11" s="102" customFormat="1" ht="15.75" customHeight="1">
      <c r="A67" s="379">
        <v>9</v>
      </c>
      <c r="B67" s="227"/>
      <c r="C67" s="380">
        <f t="shared" si="1"/>
      </c>
      <c r="D67" s="227"/>
      <c r="E67" s="229"/>
      <c r="F67" s="382">
        <v>9</v>
      </c>
      <c r="G67" s="227"/>
      <c r="H67" s="380">
        <f t="shared" si="2"/>
      </c>
      <c r="I67" s="227"/>
      <c r="J67" s="227"/>
      <c r="K67"/>
    </row>
    <row r="68" spans="1:11" s="102" customFormat="1" ht="15.75" customHeight="1">
      <c r="A68" s="379">
        <v>10</v>
      </c>
      <c r="B68" s="227"/>
      <c r="C68" s="380">
        <f t="shared" si="1"/>
      </c>
      <c r="D68" s="227"/>
      <c r="E68" s="229"/>
      <c r="F68" s="382">
        <v>10</v>
      </c>
      <c r="G68" s="227"/>
      <c r="H68" s="380">
        <f t="shared" si="2"/>
      </c>
      <c r="I68" s="227"/>
      <c r="J68" s="227"/>
      <c r="K68"/>
    </row>
    <row r="69" spans="1:11" s="102" customFormat="1" ht="15.75" customHeight="1">
      <c r="A69" s="379">
        <v>11</v>
      </c>
      <c r="B69" s="227"/>
      <c r="C69" s="380">
        <f t="shared" si="1"/>
      </c>
      <c r="D69" s="227"/>
      <c r="E69" s="229"/>
      <c r="F69" s="382">
        <v>11</v>
      </c>
      <c r="G69" s="227"/>
      <c r="H69" s="380">
        <f t="shared" si="2"/>
      </c>
      <c r="I69" s="227"/>
      <c r="J69" s="227"/>
      <c r="K69"/>
    </row>
    <row r="70" spans="1:11" s="57" customFormat="1" ht="15.75" customHeight="1">
      <c r="A70" s="379">
        <v>12</v>
      </c>
      <c r="B70" s="227"/>
      <c r="C70" s="380">
        <f t="shared" si="1"/>
      </c>
      <c r="D70" s="227"/>
      <c r="E70" s="229"/>
      <c r="F70" s="382">
        <v>12</v>
      </c>
      <c r="G70" s="227"/>
      <c r="H70" s="380">
        <f t="shared" si="2"/>
      </c>
      <c r="I70" s="227"/>
      <c r="J70" s="227"/>
      <c r="K70"/>
    </row>
    <row r="71" spans="1:11" s="57" customFormat="1" ht="15.75" customHeight="1">
      <c r="A71" s="379">
        <v>13</v>
      </c>
      <c r="B71" s="227"/>
      <c r="C71" s="380">
        <f t="shared" si="1"/>
      </c>
      <c r="D71" s="227"/>
      <c r="E71" s="229"/>
      <c r="F71" s="382">
        <v>13</v>
      </c>
      <c r="G71" s="227"/>
      <c r="H71" s="380">
        <f t="shared" si="2"/>
      </c>
      <c r="I71" s="227"/>
      <c r="J71" s="227"/>
      <c r="K71"/>
    </row>
    <row r="72" spans="1:11" s="57" customFormat="1" ht="15.75" customHeight="1">
      <c r="A72" s="379">
        <v>14</v>
      </c>
      <c r="B72" s="227"/>
      <c r="C72" s="380">
        <f t="shared" si="1"/>
      </c>
      <c r="D72" s="227"/>
      <c r="E72" s="229"/>
      <c r="F72" s="382">
        <v>14</v>
      </c>
      <c r="G72" s="227"/>
      <c r="H72" s="380">
        <f t="shared" si="2"/>
      </c>
      <c r="I72" s="227"/>
      <c r="J72" s="227"/>
      <c r="K72"/>
    </row>
    <row r="73" spans="1:11" s="57" customFormat="1" ht="15.75" customHeight="1">
      <c r="A73" s="379">
        <v>15</v>
      </c>
      <c r="B73" s="227"/>
      <c r="C73" s="380">
        <f t="shared" si="1"/>
      </c>
      <c r="D73" s="227"/>
      <c r="E73" s="229"/>
      <c r="F73" s="382">
        <v>15</v>
      </c>
      <c r="G73" s="227"/>
      <c r="H73" s="380">
        <f t="shared" si="2"/>
      </c>
      <c r="I73" s="227"/>
      <c r="J73" s="227"/>
      <c r="K73"/>
    </row>
    <row r="74" s="57" customFormat="1" ht="12" customHeight="1">
      <c r="K74"/>
    </row>
    <row r="75" spans="1:11" s="57" customFormat="1" ht="15.75" customHeight="1" thickBot="1">
      <c r="A75" s="30" t="s">
        <v>21</v>
      </c>
      <c r="B75" s="31"/>
      <c r="C75" s="31"/>
      <c r="D75" s="31"/>
      <c r="E75" s="31"/>
      <c r="F75" s="31"/>
      <c r="G75" s="31"/>
      <c r="H75" s="31"/>
      <c r="I75" s="31"/>
      <c r="J75" s="31"/>
      <c r="K75"/>
    </row>
    <row r="76" spans="1:11" s="57" customFormat="1" ht="15.75" customHeight="1">
      <c r="A76" s="716" t="s">
        <v>16</v>
      </c>
      <c r="B76" s="716"/>
      <c r="C76" s="716"/>
      <c r="D76" s="716"/>
      <c r="E76" s="717"/>
      <c r="F76" s="732" t="s">
        <v>18</v>
      </c>
      <c r="G76" s="716"/>
      <c r="H76" s="716"/>
      <c r="I76" s="716"/>
      <c r="J76" s="716"/>
      <c r="K76"/>
    </row>
    <row r="77" spans="1:11" s="57" customFormat="1" ht="15.75" customHeight="1">
      <c r="A77" s="743" t="str">
        <f>IF(Scale_Unit="Scale Graduations (L)","Neck Scale Reading @ 0 psig (L)",IF(Scale_Unit="Scale Graduations (mL)","Neck Scale Reading @ 0 psig (mL)",IF(Scale_Unit="Scale Graduations (gal)","Neck Scale Reading @ 0 psig (gal)","Neck Scale Reading @ 0 psig (in³)")))</f>
        <v>Neck Scale Reading @ 0 psig (in³)</v>
      </c>
      <c r="B77" s="743"/>
      <c r="C77" s="743"/>
      <c r="D77" s="743"/>
      <c r="E77" s="228"/>
      <c r="F77" s="744" t="str">
        <f>IF(Scale_Unit="Scale Graduations (L)","Neck Scale Reading @ 0 psig (L)",IF(Scale_Unit="Scale Graduations (mL)","Neck Scale Reading @ 0 psig (mL)",IF(Scale_Unit="Scale Graduations (gal)","Neck Scale Reading @ 0 psig (gal)","Neck Scale Reading @ 0 psig (in³)")))</f>
        <v>Neck Scale Reading @ 0 psig (in³)</v>
      </c>
      <c r="G77" s="743"/>
      <c r="H77" s="743"/>
      <c r="I77" s="743"/>
      <c r="J77" s="226"/>
      <c r="K77"/>
    </row>
    <row r="78" spans="1:11" s="57" customFormat="1" ht="15.75" customHeight="1">
      <c r="A78" s="674" t="s">
        <v>53</v>
      </c>
      <c r="B78" s="714"/>
      <c r="C78" s="714"/>
      <c r="D78" s="715"/>
      <c r="E78" s="229"/>
      <c r="F78" s="676" t="s">
        <v>53</v>
      </c>
      <c r="G78" s="654"/>
      <c r="H78" s="654"/>
      <c r="I78" s="654"/>
      <c r="J78" s="227"/>
      <c r="K78"/>
    </row>
    <row r="79" spans="1:11" s="57" customFormat="1" ht="15.75" customHeight="1">
      <c r="A79" s="654" t="s">
        <v>54</v>
      </c>
      <c r="B79" s="654"/>
      <c r="C79" s="654"/>
      <c r="D79" s="654"/>
      <c r="E79" s="229"/>
      <c r="F79" s="676" t="s">
        <v>54</v>
      </c>
      <c r="G79" s="654"/>
      <c r="H79" s="654"/>
      <c r="I79" s="654"/>
      <c r="J79" s="227"/>
      <c r="K79"/>
    </row>
    <row r="80" spans="1:11" s="57" customFormat="1" ht="15.75" customHeight="1">
      <c r="A80" s="654" t="s">
        <v>55</v>
      </c>
      <c r="B80" s="654"/>
      <c r="C80" s="654"/>
      <c r="D80" s="654"/>
      <c r="E80" s="229"/>
      <c r="F80" s="676" t="s">
        <v>55</v>
      </c>
      <c r="G80" s="654"/>
      <c r="H80" s="654"/>
      <c r="I80" s="654"/>
      <c r="J80" s="227"/>
      <c r="K80"/>
    </row>
    <row r="81" spans="1:11" s="57" customFormat="1" ht="15.75" customHeight="1">
      <c r="A81" s="654" t="s">
        <v>56</v>
      </c>
      <c r="B81" s="654"/>
      <c r="C81" s="654"/>
      <c r="D81" s="654"/>
      <c r="E81" s="383">
        <f>IF(ISERROR(AVERAGE(E78:E80)),"",AVERAGE(E78:E80))</f>
      </c>
      <c r="F81" s="676" t="s">
        <v>56</v>
      </c>
      <c r="G81" s="654"/>
      <c r="H81" s="654"/>
      <c r="I81" s="654"/>
      <c r="J81" s="384">
        <f>IF(ISERROR(AVERAGE(J78:J80)),"",AVERAGE(J78:J80))</f>
      </c>
      <c r="K81"/>
    </row>
    <row r="82" spans="1:11" s="57" customFormat="1" ht="12" customHeight="1">
      <c r="A82" s="103"/>
      <c r="B82" s="104"/>
      <c r="C82" s="104"/>
      <c r="D82" s="104"/>
      <c r="E82" s="105"/>
      <c r="F82" s="103"/>
      <c r="G82" s="104"/>
      <c r="H82" s="104"/>
      <c r="I82" s="104"/>
      <c r="J82" s="105"/>
      <c r="K82" s="105"/>
    </row>
    <row r="83" spans="1:11" s="57" customFormat="1" ht="15.75" customHeight="1" thickBot="1">
      <c r="A83" s="30" t="s">
        <v>27</v>
      </c>
      <c r="B83" s="106"/>
      <c r="C83" s="106"/>
      <c r="D83" s="106"/>
      <c r="E83" s="106"/>
      <c r="F83" s="106"/>
      <c r="G83" s="106"/>
      <c r="H83" s="106"/>
      <c r="I83" s="106"/>
      <c r="J83" s="106"/>
      <c r="K83" s="105"/>
    </row>
    <row r="84" spans="1:11" s="57" customFormat="1" ht="15.75" customHeight="1">
      <c r="A84" s="685" t="str">
        <f>IF(RefTempUnit="Designated Reference Temperature For This Calibration (ºC)","Adjust prover for Nominal Volume at "&amp;RefT&amp;" ºC and 100 psig","Adjust prover for Nominal Volume at "&amp;RefT&amp;" ºF and 100 psig")</f>
        <v>Adjust prover for Nominal Volume at  ºF and 100 psig</v>
      </c>
      <c r="B84" s="685"/>
      <c r="C84" s="685"/>
      <c r="D84" s="685"/>
      <c r="E84" s="685"/>
      <c r="F84" s="685"/>
      <c r="G84" s="685"/>
      <c r="H84" s="685"/>
      <c r="I84" s="685"/>
      <c r="J84" s="685"/>
      <c r="K84"/>
    </row>
    <row r="85" spans="1:11" s="57" customFormat="1" ht="15.75" customHeight="1">
      <c r="A85" s="755" t="s">
        <v>505</v>
      </c>
      <c r="B85" s="756"/>
      <c r="C85" s="756"/>
      <c r="D85" s="756"/>
      <c r="E85" s="756"/>
      <c r="F85" s="756"/>
      <c r="G85" s="756"/>
      <c r="H85" s="756"/>
      <c r="I85" s="757"/>
      <c r="J85" s="224"/>
      <c r="K85"/>
    </row>
    <row r="86" spans="1:11" ht="16.5">
      <c r="A86" s="729" t="s">
        <v>63</v>
      </c>
      <c r="B86" s="730"/>
      <c r="C86" s="730"/>
      <c r="D86" s="730"/>
      <c r="E86" s="730"/>
      <c r="F86" s="730"/>
      <c r="G86" s="730"/>
      <c r="H86" s="730"/>
      <c r="I86" s="731"/>
      <c r="J86" s="227"/>
      <c r="K86"/>
    </row>
    <row r="87" spans="1:11" s="57" customFormat="1" ht="15.75" customHeight="1">
      <c r="A87" s="674" t="str">
        <f>IF(Scale_Unit="Scale Graduations (L)","Neck Scale Reading As Found @ 100 psig (L)",IF(Scale_Unit="Scale Graduations (mL)","Neck Scale Reading As Found @ 100 psig (mL)",IF(Scale_Unit="Scale Graduations (gal)","Neck Scale Reading As Found @ 100 psig (gal)","Neck Scale Reading As Found @ 100 psig (in³)")))</f>
        <v>Neck Scale Reading As Found @ 100 psig (in³)</v>
      </c>
      <c r="B87" s="675"/>
      <c r="C87" s="675"/>
      <c r="D87" s="675"/>
      <c r="E87" s="675"/>
      <c r="F87" s="675"/>
      <c r="G87" s="675"/>
      <c r="H87" s="675"/>
      <c r="I87" s="676"/>
      <c r="J87" s="226"/>
      <c r="K87"/>
    </row>
    <row r="88" spans="1:11" s="57" customFormat="1" ht="36" customHeight="1">
      <c r="A88" s="679" t="str">
        <f>IF(RefTempUnit="Designated Reference Temperature For This Calibration (ºC)","Desired Neck Scale Reading at "&amp;RefT&amp;" ºC and 100 psig is ","Desired Neck Scale Reading at "&amp;RefT&amp;" ºF and 100 psig is ")</f>
        <v>Desired Neck Scale Reading at  ºF and 100 psig is </v>
      </c>
      <c r="B88" s="680"/>
      <c r="C88" s="680"/>
      <c r="D88" s="680"/>
      <c r="E88" s="680"/>
      <c r="F88" s="680"/>
      <c r="G88" s="718" t="str">
        <f>IF(ISERROR(FIXED(Z60_2-Nom_Val*'Water Compressability'!C51,3,TRUE)),"TBD",IF(NomValUnit="Nominal Volume (gal)",FIXED(Z60_2-Nom_Val*'Water Compressability'!C51,3,TRUE)&amp;" gallons or "&amp;FIXED(Z60_2-Nom_Val*'Water Compressability'!C51,3,TRUE)*231&amp;" in³",FIXED(Z60_2-Nom_Val*'Water Compressability'!C51,3,TRUE)&amp;" liters or "&amp;FIXED(Z60_2-Nom_Val*'Water Compressability'!C51,3,TRUE)*1000&amp;" mL"))</f>
        <v>TBD</v>
      </c>
      <c r="H88" s="718"/>
      <c r="I88" s="718"/>
      <c r="J88" s="719"/>
      <c r="K88"/>
    </row>
    <row r="89" spans="1:11" s="57" customFormat="1" ht="40.5" customHeight="1">
      <c r="A89" s="677" t="s">
        <v>130</v>
      </c>
      <c r="B89" s="678"/>
      <c r="C89" s="678"/>
      <c r="D89" s="678"/>
      <c r="E89" s="678"/>
      <c r="F89" s="678"/>
      <c r="G89" s="678"/>
      <c r="H89" s="678"/>
      <c r="I89" s="678"/>
      <c r="J89" s="678"/>
      <c r="K89"/>
    </row>
    <row r="90" spans="1:11" s="57" customFormat="1" ht="33.75" customHeight="1">
      <c r="A90" s="388" t="s">
        <v>35</v>
      </c>
      <c r="B90" s="681" t="str">
        <f>IF(RefTempUnit="Designated Reference Temperature For This Calibration (ºC)","If the top scale is adjustable, then adjust the upper scale to read the Desired 
Gauge Reading at "&amp;RefT&amp;" ºC and 100 psig.","If the top scale is adjustable, then adjust the upper scale to read the Desired 
Gauge Reading at "&amp;RefT&amp;" ºF and 100 psig.")</f>
        <v>If the top scale is adjustable, then adjust the upper scale to read the Desired 
Gauge Reading at  ºF and 100 psig.</v>
      </c>
      <c r="C90" s="681"/>
      <c r="D90" s="681"/>
      <c r="E90" s="681"/>
      <c r="F90" s="681"/>
      <c r="G90" s="681"/>
      <c r="H90" s="681"/>
      <c r="I90" s="681"/>
      <c r="J90" s="682"/>
      <c r="K90"/>
    </row>
    <row r="91" spans="1:13" s="57" customFormat="1" ht="16.5" customHeight="1">
      <c r="A91" s="389" t="s">
        <v>36</v>
      </c>
      <c r="B91" s="733" t="s">
        <v>129</v>
      </c>
      <c r="C91" s="733"/>
      <c r="D91" s="733"/>
      <c r="E91" s="733"/>
      <c r="F91" s="733"/>
      <c r="G91" s="733"/>
      <c r="H91" s="390">
        <f>IF(OR(J86=0,J86=""),"",IF(AND(Scale_Unit="Scale Graduations (in³)",(Z60_2*231)-(Nom_Val*231)*'Water Compressability'!C51-J87)&gt;0,"UP ",IF(AND(Scale_Unit="Scale Graduations (mL)",(Z60_2*1000)-(Nom_Val*1000)*'Water Compressability'!C51-J87)&gt;0,"UP ",IF(AND(OR(Scale_Unit="Scale Graduations (L)",Scale_Unit="Scale Graduations (gal)"),Z60_2-Nom_Val*'Water Compressability'!C51-J87)&gt;0,"UP ","DOWN "))))</f>
      </c>
      <c r="I91" s="724" t="str">
        <f>IF(OR(J86=0,J86=""),"N/A",IF(Scale_Unit="Scale Graduations (L)",FIXED(4*(ABS((Z60_2-Nom_Val*'Water Compressability'!C51)*61.02374-J87*61.02374)*J86)/(PI()*J86^2),2,TRUE),IF(Scale_Unit="Scale Graduations (mL)",FIXED(4*(ABS((Z60_2-Nom_Val*'Water Compressability'!C51)*0.06102374-J87*0.06102374)*J86)/(PI()*J86^2),2,TRUE),IF(Scale_Unit="Scale Graduations (gal)",FIXED(4*(ABS((Z60_2-Nom_Val*'Water Compressability'!C51)*231-J87*231)*J86)/(PI()*J86^2),2,TRUE),FIXED(4*(ABS(Z60_2-Nom_Val*'Water Compressability'!C51)*231-J87*J86)/(PI()*J86^2),2,TRUE))))&amp;" inches")</f>
        <v>N/A</v>
      </c>
      <c r="J91" s="725"/>
      <c r="K91"/>
      <c r="M91" s="58"/>
    </row>
    <row r="92" spans="1:13" s="57" customFormat="1" ht="42" customHeight="1">
      <c r="A92" s="726" t="s">
        <v>152</v>
      </c>
      <c r="B92" s="727"/>
      <c r="C92" s="727"/>
      <c r="D92" s="727"/>
      <c r="E92" s="727"/>
      <c r="F92" s="727"/>
      <c r="G92" s="727"/>
      <c r="H92" s="727"/>
      <c r="I92" s="727"/>
      <c r="J92" s="728"/>
      <c r="K92"/>
      <c r="M92" s="58"/>
    </row>
    <row r="93" spans="1:13" s="57" customFormat="1" ht="42" customHeight="1">
      <c r="A93" s="544" t="s">
        <v>57</v>
      </c>
      <c r="B93" s="683" t="s">
        <v>128</v>
      </c>
      <c r="C93" s="683"/>
      <c r="D93" s="683"/>
      <c r="E93" s="683"/>
      <c r="F93" s="683"/>
      <c r="G93" s="683"/>
      <c r="H93" s="683"/>
      <c r="I93" s="683"/>
      <c r="J93" s="684"/>
      <c r="K93"/>
      <c r="M93" s="58"/>
    </row>
    <row r="94" spans="1:13" s="57" customFormat="1" ht="81" customHeight="1">
      <c r="A94" s="545" t="s">
        <v>57</v>
      </c>
      <c r="B94" s="737" t="str">
        <f>IF(RefTempUnit="Designated Reference Temperature For This Calibration (ºC)","It is best to report the actual volume at 100 psig to ensure that the owner/user applies the correction properly. (A high neck scale reading at 100 psig means the prover is small and the volume reported at "&amp;RefT&amp;" ºC and 100 psig should be less than the nominal value of the prover.) The prover error is added to the nominal volume to determine the prover volume (see the Pressure Corrections worksheet).","It is best to report the actual volume at 100 psig to ensure that the owner/user applies the correction properly. (A high neck scale reading at 100 psig means the prover is small and the volume reported at "&amp;RefT&amp;" ºF and 100 psig should be less than the nominal value of the prover.) The prover error is added to the nominal volume to determine the prover volume (see the Pressure Corrections worksheet).")</f>
        <v>It is best to report the actual volume at 100 psig to ensure that the owner/user applies the correction properly. (A high neck scale reading at 100 psig means the prover is small and the volume reported at  ºF and 100 psig should be less than the nominal value of the prover.) The prover error is added to the nominal volume to determine the prover volume (see the Pressure Corrections worksheet).</v>
      </c>
      <c r="C94" s="737"/>
      <c r="D94" s="737"/>
      <c r="E94" s="737"/>
      <c r="F94" s="737"/>
      <c r="G94" s="737"/>
      <c r="H94" s="737"/>
      <c r="I94" s="737"/>
      <c r="J94" s="738"/>
      <c r="K94"/>
      <c r="M94" s="58"/>
    </row>
    <row r="95" spans="1:13" s="57" customFormat="1" ht="42" customHeight="1">
      <c r="A95" s="544" t="s">
        <v>57</v>
      </c>
      <c r="B95" s="683" t="s">
        <v>174</v>
      </c>
      <c r="C95" s="683"/>
      <c r="D95" s="683"/>
      <c r="E95" s="683"/>
      <c r="F95" s="683"/>
      <c r="G95" s="683"/>
      <c r="H95" s="683"/>
      <c r="I95" s="683"/>
      <c r="J95" s="684"/>
      <c r="K95"/>
      <c r="M95" s="58"/>
    </row>
    <row r="96" spans="1:11" s="57" customFormat="1" ht="15.75" customHeight="1">
      <c r="A96" s="674" t="str">
        <f>IF(Scale_Unit="Scale Graduations (L)","Neck Scale Reading As Left @ 100 psig (L)",IF(Scale_Unit="Scale Graduations (mL)","Neck Scale Reading As Left @ 100 psig (mL)",IF(Scale_Unit="Scale Graduations (gal)","Neck Scale Reading As Left @ 100 psig (gal)","Neck Scale Reading As Left @ 100 psig (in³)")))</f>
        <v>Neck Scale Reading As Left @ 100 psig (in³)</v>
      </c>
      <c r="B96" s="675"/>
      <c r="C96" s="675"/>
      <c r="D96" s="675"/>
      <c r="E96" s="675"/>
      <c r="F96" s="675"/>
      <c r="G96" s="675"/>
      <c r="H96" s="675"/>
      <c r="I96" s="676"/>
      <c r="J96" s="227"/>
      <c r="K96"/>
    </row>
    <row r="97" spans="1:11" s="57" customFormat="1" ht="15.75" customHeight="1">
      <c r="A97" s="674" t="s">
        <v>120</v>
      </c>
      <c r="B97" s="675"/>
      <c r="C97" s="675"/>
      <c r="D97" s="675"/>
      <c r="E97" s="675"/>
      <c r="F97" s="675"/>
      <c r="G97" s="675"/>
      <c r="H97" s="675"/>
      <c r="I97" s="676"/>
      <c r="J97" s="230"/>
      <c r="K97"/>
    </row>
    <row r="98" spans="1:11" s="57" customFormat="1" ht="15.75" customHeight="1">
      <c r="A98" s="720" t="s">
        <v>28</v>
      </c>
      <c r="B98" s="720"/>
      <c r="C98" s="720"/>
      <c r="D98" s="720"/>
      <c r="E98" s="720"/>
      <c r="F98" s="720"/>
      <c r="G98" s="720"/>
      <c r="H98" s="720"/>
      <c r="I98" s="720"/>
      <c r="J98" s="720"/>
      <c r="K98"/>
    </row>
    <row r="99" spans="1:11" s="57" customFormat="1" ht="15.75" customHeight="1">
      <c r="A99" s="739" t="s">
        <v>29</v>
      </c>
      <c r="B99" s="740"/>
      <c r="C99" s="740"/>
      <c r="D99" s="740"/>
      <c r="E99" s="740"/>
      <c r="F99" s="739" t="s">
        <v>30</v>
      </c>
      <c r="G99" s="739"/>
      <c r="H99" s="739"/>
      <c r="I99" s="739"/>
      <c r="J99" s="740"/>
      <c r="K99"/>
    </row>
    <row r="100" spans="1:11" s="57" customFormat="1" ht="15.75" customHeight="1">
      <c r="A100" s="654" t="str">
        <f>IF(Scale_Unit="Scale Graduations (L)","Neck Scale Reading @ 0 psig (L)",IF(Scale_Unit="Scale Graduations (mL)","Neck Scale Reading @ 0 psig (mL)",IF(Scale_Unit="Scale Graduations (gal)","Neck Scale Reading @ 0 psig (gal)","Neck Scale Reading @ 0 psig (in³)")))</f>
        <v>Neck Scale Reading @ 0 psig (in³)</v>
      </c>
      <c r="B100" s="654"/>
      <c r="C100" s="654"/>
      <c r="D100" s="654"/>
      <c r="E100" s="227"/>
      <c r="F100" s="654" t="str">
        <f>IF(Scale_Unit="Scale Graduations (L)","Neck Scale Reading @ 150 psig (L)",IF(Scale_Unit="Scale Graduations (mL)","Neck Scale Reading @ 150 psig (mL)",IF(Scale_Unit="Scale Graduations (gal)","Neck Scale Reading @ 150 psig (gal)","Neck Scale Reading @ 150 psig (in³)")))</f>
        <v>Neck Scale Reading @ 150 psig (in³)</v>
      </c>
      <c r="G100" s="654"/>
      <c r="H100" s="654"/>
      <c r="I100" s="654"/>
      <c r="J100" s="227"/>
      <c r="K100"/>
    </row>
    <row r="101" spans="1:11" s="57" customFormat="1" ht="15.75" customHeight="1">
      <c r="A101" s="654" t="str">
        <f>IF(Scale_Unit="Scale Graduations (L)","Neck Scale Reading @ 50 psig (L)",IF(Scale_Unit="Scale Graduations (mL)","Neck Scale Reading @ 50 psig (mL)",IF(Scale_Unit="Scale Graduations (gal)","Neck Scale Reading @ 50 psig (gal)","Neck Scale Reading @ 50 psig (in³)")))</f>
        <v>Neck Scale Reading @ 50 psig (in³)</v>
      </c>
      <c r="B101" s="654"/>
      <c r="C101" s="654"/>
      <c r="D101" s="654"/>
      <c r="E101" s="227"/>
      <c r="F101" s="654" t="str">
        <f>IF(Scale_Unit="Scale Graduations (L)","Neck Scale Reading @ 100 psig (L)",IF(Scale_Unit="Scale Graduations (mL)","Neck Scale Reading @ 100 psig (mL)",IF(Scale_Unit="Scale Graduations (gal)","Neck Scale Reading @ 100 psig (gal)","Neck Scale Reading @ 100 psig (in³)")))</f>
        <v>Neck Scale Reading @ 100 psig (in³)</v>
      </c>
      <c r="G101" s="654"/>
      <c r="H101" s="654"/>
      <c r="I101" s="654"/>
      <c r="J101" s="227"/>
      <c r="K101"/>
    </row>
    <row r="102" spans="1:11" s="57" customFormat="1" ht="15.75" customHeight="1">
      <c r="A102" s="654" t="str">
        <f>IF(Scale_Unit="Scale Graduations (L)","Neck Scale Reading @ 100 psig (L)",IF(Scale_Unit="Scale Graduations (mL)","Neck Scale Reading @ 100 psig (mL)",IF(Scale_Unit="Scale Graduations (gal)","Neck Scale Reading @ 100 psig (gal)","Neck Scale Reading @ 100 psig (in³)")))</f>
        <v>Neck Scale Reading @ 100 psig (in³)</v>
      </c>
      <c r="B102" s="654"/>
      <c r="C102" s="654"/>
      <c r="D102" s="654"/>
      <c r="E102" s="227"/>
      <c r="F102" s="654" t="str">
        <f>IF(Scale_Unit="Scale Graduations (L)","Neck Scale Reading @ 50 psig (L)",IF(Scale_Unit="Scale Graduations (mL)","Neck Scale Reading @ 50 psig (mL)",IF(Scale_Unit="Scale Graduations (gal)","Neck Scale Reading @ 50 psig (gal)","Neck Scale Reading @ 50 psig (in³)")))</f>
        <v>Neck Scale Reading @ 50 psig (in³)</v>
      </c>
      <c r="G102" s="654"/>
      <c r="H102" s="654"/>
      <c r="I102" s="654"/>
      <c r="J102" s="227"/>
      <c r="K102"/>
    </row>
    <row r="103" spans="1:11" s="57" customFormat="1" ht="15.75" customHeight="1">
      <c r="A103" s="654" t="str">
        <f>IF(Scale_Unit="Scale Graduations (L)","Neck Scale Reading @ 150 psig (L)",IF(Scale_Unit="Scale Graduations (mL)","Neck Scale Reading @ 150 psig (mL)",IF(Scale_Unit="Scale Graduations (gal)","Neck Scale Reading @ 150 psig (gal)","Neck Scale Reading @ 150 psig (in³)")))</f>
        <v>Neck Scale Reading @ 150 psig (in³)</v>
      </c>
      <c r="B103" s="654"/>
      <c r="C103" s="654"/>
      <c r="D103" s="654"/>
      <c r="E103" s="227"/>
      <c r="F103" s="654" t="str">
        <f>IF(Scale_Unit="Scale Graduations (L)","Neck Scale Reading @ 0 psig (L)",IF(Scale_Unit="Scale Graduations (mL)","Neck Scale Reading @ 0 psig (mL)",IF(Scale_Unit="Scale Graduations (gal)","Neck Scale Reading @ 0 psig (gal)","Neck Scale Reading @ 0 psig (in³)")))</f>
        <v>Neck Scale Reading @ 0 psig (in³)</v>
      </c>
      <c r="G103" s="654"/>
      <c r="H103" s="654"/>
      <c r="I103" s="654"/>
      <c r="J103" s="227"/>
      <c r="K103"/>
    </row>
    <row r="104" spans="1:11" s="57" customFormat="1" ht="15.75" customHeight="1">
      <c r="A104" s="654" t="str">
        <f>IF(Scale_Unit="Scale Graduations (L)","Neck Scale Reading @ 200 psig (L)",IF(Scale_Unit="Scale Graduations (mL)","Neck Scale Reading @ 200 psig (mL)",IF(Scale_Unit="Scale Graduations (gal)","Neck Scale Reading @ 200 psig (gal)","Neck Scale Reading @ 200 psig (in³)")))</f>
        <v>Neck Scale Reading @ 200 psig (in³)</v>
      </c>
      <c r="B104" s="654"/>
      <c r="C104" s="654"/>
      <c r="D104" s="654"/>
      <c r="E104" s="227"/>
      <c r="F104" s="734"/>
      <c r="G104" s="735"/>
      <c r="H104" s="735"/>
      <c r="I104" s="735"/>
      <c r="J104" s="736"/>
      <c r="K104"/>
    </row>
    <row r="105" spans="1:11" s="57" customFormat="1" ht="15.75" customHeight="1">
      <c r="A105" s="674" t="s">
        <v>69</v>
      </c>
      <c r="B105" s="714"/>
      <c r="C105" s="715"/>
      <c r="D105" s="669"/>
      <c r="E105" s="670"/>
      <c r="F105" s="671" t="s">
        <v>70</v>
      </c>
      <c r="G105" s="672"/>
      <c r="H105" s="673"/>
      <c r="I105" s="669"/>
      <c r="J105" s="670"/>
      <c r="K105"/>
    </row>
    <row r="106" s="57" customFormat="1" ht="15.75" customHeight="1"/>
    <row r="107" spans="1:11" s="57" customFormat="1" ht="15.75" customHeight="1" thickBot="1">
      <c r="A107" s="30" t="s">
        <v>12</v>
      </c>
      <c r="B107" s="31"/>
      <c r="C107" s="31"/>
      <c r="D107" s="31"/>
      <c r="E107" s="31"/>
      <c r="F107" s="31"/>
      <c r="G107" s="31"/>
      <c r="H107" s="231"/>
      <c r="I107" s="231"/>
      <c r="J107" s="231"/>
      <c r="K107" s="231"/>
    </row>
    <row r="108" spans="1:11" s="57" customFormat="1" ht="15.75" customHeight="1">
      <c r="A108" s="205" t="s">
        <v>209</v>
      </c>
      <c r="B108" s="626" t="s">
        <v>89</v>
      </c>
      <c r="C108" s="647"/>
      <c r="D108" s="367"/>
      <c r="E108" s="626" t="s">
        <v>11</v>
      </c>
      <c r="F108" s="647"/>
      <c r="G108" s="366"/>
      <c r="H108" s="232"/>
      <c r="I108" s="105"/>
      <c r="J108" s="105"/>
      <c r="K108" s="105"/>
    </row>
    <row r="109" spans="1:11" s="57" customFormat="1" ht="15.75" customHeight="1">
      <c r="A109" s="252"/>
      <c r="B109" s="253"/>
      <c r="C109" s="254"/>
      <c r="D109" s="345"/>
      <c r="E109" s="253"/>
      <c r="F109" s="254"/>
      <c r="G109" s="345"/>
      <c r="H109" s="105"/>
      <c r="I109" s="105"/>
      <c r="J109" s="105"/>
      <c r="K109" s="105"/>
    </row>
    <row r="110" spans="1:11" s="57" customFormat="1" ht="15.75" customHeight="1" thickBot="1">
      <c r="A110" s="30" t="s">
        <v>327</v>
      </c>
      <c r="B110" s="256"/>
      <c r="C110" s="257"/>
      <c r="D110" s="346"/>
      <c r="E110" s="256"/>
      <c r="F110" s="257"/>
      <c r="G110" s="346"/>
      <c r="H110" s="106"/>
      <c r="I110" s="105"/>
      <c r="J110" s="105"/>
      <c r="K110" s="105"/>
    </row>
    <row r="111" spans="1:11" s="57" customFormat="1" ht="15.75" customHeight="1">
      <c r="A111" s="668" t="s">
        <v>504</v>
      </c>
      <c r="B111" s="668"/>
      <c r="C111" s="668"/>
      <c r="D111" s="668"/>
      <c r="E111" s="258"/>
      <c r="F111" s="391" t="s">
        <v>324</v>
      </c>
      <c r="G111" s="258"/>
      <c r="H111" s="392" t="s">
        <v>325</v>
      </c>
      <c r="I111" s="255"/>
      <c r="J111" s="255"/>
      <c r="K111" s="255"/>
    </row>
    <row r="112" spans="1:11" s="57" customFormat="1" ht="15.75" customHeight="1">
      <c r="A112" s="666" t="s">
        <v>326</v>
      </c>
      <c r="B112" s="666"/>
      <c r="C112" s="666"/>
      <c r="D112" s="666"/>
      <c r="E112" s="667"/>
      <c r="F112" s="667"/>
      <c r="G112" s="667"/>
      <c r="H112" s="667"/>
      <c r="I112" s="255"/>
      <c r="J112" s="255"/>
      <c r="K112" s="255"/>
    </row>
    <row r="113" s="57" customFormat="1" ht="15.75" customHeight="1"/>
    <row r="114" s="57" customFormat="1" ht="15.75" customHeight="1" hidden="1"/>
    <row r="115" s="57" customFormat="1" ht="15.75" customHeight="1"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sheetData>
  <sheetProtection password="83AF" sheet="1" objects="1" scenarios="1" selectLockedCells="1"/>
  <mergeCells count="168">
    <mergeCell ref="A18:I18"/>
    <mergeCell ref="A21:E21"/>
    <mergeCell ref="F25:G25"/>
    <mergeCell ref="B44:D44"/>
    <mergeCell ref="B45:D45"/>
    <mergeCell ref="B46:D46"/>
    <mergeCell ref="H26:I26"/>
    <mergeCell ref="F32:G32"/>
    <mergeCell ref="H32:I32"/>
    <mergeCell ref="F27:G27"/>
    <mergeCell ref="B40:D40"/>
    <mergeCell ref="C10:F10"/>
    <mergeCell ref="H31:I31"/>
    <mergeCell ref="I14:J14"/>
    <mergeCell ref="H16:I16"/>
    <mergeCell ref="C16:G16"/>
    <mergeCell ref="C22:D22"/>
    <mergeCell ref="H28:I28"/>
    <mergeCell ref="H29:I29"/>
    <mergeCell ref="F28:G28"/>
    <mergeCell ref="J49:K49"/>
    <mergeCell ref="H25:I25"/>
    <mergeCell ref="F26:G26"/>
    <mergeCell ref="F19:G19"/>
    <mergeCell ref="F29:G29"/>
    <mergeCell ref="H49:I49"/>
    <mergeCell ref="F49:G49"/>
    <mergeCell ref="F46:G46"/>
    <mergeCell ref="F45:G45"/>
    <mergeCell ref="F43:G43"/>
    <mergeCell ref="A16:B16"/>
    <mergeCell ref="G14:H14"/>
    <mergeCell ref="J51:K51"/>
    <mergeCell ref="A17:I17"/>
    <mergeCell ref="A85:I85"/>
    <mergeCell ref="A22:B22"/>
    <mergeCell ref="F42:G42"/>
    <mergeCell ref="F31:G31"/>
    <mergeCell ref="A19:E19"/>
    <mergeCell ref="J50:K50"/>
    <mergeCell ref="A20:E20"/>
    <mergeCell ref="A103:D103"/>
    <mergeCell ref="A77:D77"/>
    <mergeCell ref="A50:D50"/>
    <mergeCell ref="F77:I77"/>
    <mergeCell ref="F57:J57"/>
    <mergeCell ref="H27:I27"/>
    <mergeCell ref="B42:D42"/>
    <mergeCell ref="F44:G44"/>
    <mergeCell ref="F22:H22"/>
    <mergeCell ref="A100:D100"/>
    <mergeCell ref="A102:D102"/>
    <mergeCell ref="F101:I101"/>
    <mergeCell ref="A99:E99"/>
    <mergeCell ref="F99:J99"/>
    <mergeCell ref="A101:D101"/>
    <mergeCell ref="F100:I100"/>
    <mergeCell ref="A51:D51"/>
    <mergeCell ref="F76:J76"/>
    <mergeCell ref="I105:J105"/>
    <mergeCell ref="A104:D104"/>
    <mergeCell ref="F102:I102"/>
    <mergeCell ref="A105:C105"/>
    <mergeCell ref="A97:I97"/>
    <mergeCell ref="B91:G91"/>
    <mergeCell ref="F104:J104"/>
    <mergeCell ref="B94:J94"/>
    <mergeCell ref="F51:G51"/>
    <mergeCell ref="H51:I51"/>
    <mergeCell ref="A76:E76"/>
    <mergeCell ref="G88:J88"/>
    <mergeCell ref="A98:J98"/>
    <mergeCell ref="A57:E57"/>
    <mergeCell ref="I91:J91"/>
    <mergeCell ref="A92:J92"/>
    <mergeCell ref="A86:I86"/>
    <mergeCell ref="F78:I78"/>
    <mergeCell ref="A49:D49"/>
    <mergeCell ref="H50:I50"/>
    <mergeCell ref="A81:D81"/>
    <mergeCell ref="A79:D79"/>
    <mergeCell ref="F79:I79"/>
    <mergeCell ref="F81:I81"/>
    <mergeCell ref="F80:I80"/>
    <mergeCell ref="A80:D80"/>
    <mergeCell ref="A78:D78"/>
    <mergeCell ref="E54:F54"/>
    <mergeCell ref="B43:D43"/>
    <mergeCell ref="I22:J22"/>
    <mergeCell ref="B25:E25"/>
    <mergeCell ref="B26:E26"/>
    <mergeCell ref="B27:E27"/>
    <mergeCell ref="B28:E28"/>
    <mergeCell ref="F40:G40"/>
    <mergeCell ref="B36:D36"/>
    <mergeCell ref="B37:D37"/>
    <mergeCell ref="B38:D38"/>
    <mergeCell ref="B39:D39"/>
    <mergeCell ref="B54:C54"/>
    <mergeCell ref="F50:G50"/>
    <mergeCell ref="J17:K17"/>
    <mergeCell ref="J18:K18"/>
    <mergeCell ref="H19:J19"/>
    <mergeCell ref="F20:G20"/>
    <mergeCell ref="G21:J21"/>
    <mergeCell ref="H37:I37"/>
    <mergeCell ref="H38:I38"/>
    <mergeCell ref="H39:I39"/>
    <mergeCell ref="H40:I40"/>
    <mergeCell ref="F36:G36"/>
    <mergeCell ref="F37:G37"/>
    <mergeCell ref="F38:G38"/>
    <mergeCell ref="F39:G39"/>
    <mergeCell ref="B29:E29"/>
    <mergeCell ref="B30:E30"/>
    <mergeCell ref="B31:E31"/>
    <mergeCell ref="B32:E32"/>
    <mergeCell ref="B33:E33"/>
    <mergeCell ref="H36:I36"/>
    <mergeCell ref="H30:I30"/>
    <mergeCell ref="H33:I33"/>
    <mergeCell ref="F33:G33"/>
    <mergeCell ref="F30:G30"/>
    <mergeCell ref="A96:I96"/>
    <mergeCell ref="A89:J89"/>
    <mergeCell ref="A88:F88"/>
    <mergeCell ref="B90:J90"/>
    <mergeCell ref="B93:J93"/>
    <mergeCell ref="A84:J84"/>
    <mergeCell ref="A87:I87"/>
    <mergeCell ref="B95:J95"/>
    <mergeCell ref="A112:D112"/>
    <mergeCell ref="E112:H112"/>
    <mergeCell ref="A111:D111"/>
    <mergeCell ref="B108:C108"/>
    <mergeCell ref="E108:F108"/>
    <mergeCell ref="D105:E105"/>
    <mergeCell ref="F105:H105"/>
    <mergeCell ref="G13:K13"/>
    <mergeCell ref="F103:I103"/>
    <mergeCell ref="J16:K16"/>
    <mergeCell ref="A12:B12"/>
    <mergeCell ref="C12:D12"/>
    <mergeCell ref="I1:K1"/>
    <mergeCell ref="H4:J4"/>
    <mergeCell ref="I5:K5"/>
    <mergeCell ref="J10:K10"/>
    <mergeCell ref="G10:I10"/>
    <mergeCell ref="A4:G4"/>
    <mergeCell ref="A5:G5"/>
    <mergeCell ref="A6:G6"/>
    <mergeCell ref="A7:G7"/>
    <mergeCell ref="I6:K6"/>
    <mergeCell ref="G11:I11"/>
    <mergeCell ref="J11:K11"/>
    <mergeCell ref="A11:B11"/>
    <mergeCell ref="A10:B10"/>
    <mergeCell ref="C11:F11"/>
    <mergeCell ref="I7:K7"/>
    <mergeCell ref="A15:B15"/>
    <mergeCell ref="D15:F15"/>
    <mergeCell ref="H15:J15"/>
    <mergeCell ref="C14:F14"/>
    <mergeCell ref="A14:B14"/>
    <mergeCell ref="E12:F12"/>
    <mergeCell ref="G12:I12"/>
    <mergeCell ref="J12:K12"/>
    <mergeCell ref="A13:E13"/>
  </mergeCells>
  <conditionalFormatting sqref="K26:K33">
    <cfRule type="cellIs" priority="10" dxfId="36" operator="lessThanOrEqual" stopIfTrue="1">
      <formula>$J$10</formula>
    </cfRule>
  </conditionalFormatting>
  <conditionalFormatting sqref="E50:E51 E37:E40 G111 E111:E112 J96:J97 C22:D22 F22:H22 J77:J80 E77:E80 K21:K22 J100:J103 E100:E104 I105:J105 D105:E105 J85:J87 A37:A40 F21 F19:G19 A26:A33 A17:J17 J18 K19 K4 C11:C12 I1 I5 C14:C15 C16:G16 D11:F11 K13 E12 A12 H13:I13 J10:J13 D13:F14 K15 G15 J16 D59:E73 I59:J73 B59:B73 G59:G73">
    <cfRule type="containsBlanks" priority="232" dxfId="10" stopIfTrue="1">
      <formula>LEN(TRIM(A1))=0</formula>
    </cfRule>
  </conditionalFormatting>
  <conditionalFormatting sqref="E50:E51 E37:E40 G111 E111:E112 J96:J97 C22:D22 F22:H22 J77:J80 E77:E80 K21:K22 J100:J103 E100:E104 I105:J105 D105:E105 J85:J87 A37:A40 F21 F19:G19 A26:A33 A17:J17 J18 K19 K4 C11:C12 I1 I5 C14:C15 C16:G16 D11:F11 K13 E12 A12 H13:I13 J10:J13 D13:F14 K15 G15 J16 D59:E73 I59:J73 B59:B73 G59:G73">
    <cfRule type="notContainsBlanks" priority="232" dxfId="11" stopIfTrue="1">
      <formula>LEN(TRIM(A1))&gt;0</formula>
    </cfRule>
  </conditionalFormatting>
  <conditionalFormatting sqref="D54 D108">
    <cfRule type="containsBlanks" priority="39" dxfId="10" stopIfTrue="1">
      <formula>LEN(TRIM(D54))=0</formula>
    </cfRule>
    <cfRule type="cellIs" priority="40" dxfId="37" operator="notBetween" stopIfTrue="1">
      <formula>18</formula>
      <formula>27</formula>
    </cfRule>
    <cfRule type="notContainsBlanks" priority="41" dxfId="11" stopIfTrue="1">
      <formula>LEN(TRIM(D54))&gt;0</formula>
    </cfRule>
  </conditionalFormatting>
  <conditionalFormatting sqref="G54 G108">
    <cfRule type="containsBlanks" priority="36" dxfId="10" stopIfTrue="1">
      <formula>LEN(TRIM(G54))=0</formula>
    </cfRule>
    <cfRule type="cellIs" priority="37" dxfId="37" operator="notBetween" stopIfTrue="1">
      <formula>35</formula>
      <formula>65</formula>
    </cfRule>
    <cfRule type="notContainsBlanks" priority="38" dxfId="11" stopIfTrue="1">
      <formula>LEN(TRIM(G54))&gt;0</formula>
    </cfRule>
  </conditionalFormatting>
  <conditionalFormatting sqref="A4:G7 I6:K7">
    <cfRule type="notContainsBlanks" priority="14" dxfId="11" stopIfTrue="1">
      <formula>LEN(TRIM(A4))&gt;0</formula>
    </cfRule>
    <cfRule type="containsBlanks" priority="15" dxfId="10" stopIfTrue="1">
      <formula>LEN(TRIM(A4))=0</formula>
    </cfRule>
  </conditionalFormatting>
  <conditionalFormatting sqref="F20:G20 I20 K20">
    <cfRule type="notContainsBlanks" priority="12" dxfId="11" stopIfTrue="1">
      <formula>LEN(TRIM(F20))&gt;0</formula>
    </cfRule>
    <cfRule type="containsBlanks" priority="13" dxfId="10" stopIfTrue="1">
      <formula>LEN(TRIM(F20))=0</formula>
    </cfRule>
  </conditionalFormatting>
  <conditionalFormatting sqref="B26:K33">
    <cfRule type="containsBlanks" priority="1" dxfId="10" stopIfTrue="1">
      <formula>LEN(TRIM(B26))=0</formula>
    </cfRule>
    <cfRule type="notContainsBlanks" priority="11" dxfId="11" stopIfTrue="1">
      <formula>LEN(TRIM(B26))&gt;0</formula>
    </cfRule>
  </conditionalFormatting>
  <conditionalFormatting sqref="B37:D40">
    <cfRule type="notContainsBlanks" priority="8" dxfId="11" stopIfTrue="1">
      <formula>LEN(TRIM(B37))&gt;0</formula>
    </cfRule>
    <cfRule type="containsBlanks" priority="9" dxfId="10" stopIfTrue="1">
      <formula>LEN(TRIM(B37))=0</formula>
    </cfRule>
  </conditionalFormatting>
  <conditionalFormatting sqref="F37:I40 E43:K46">
    <cfRule type="cellIs" priority="6" dxfId="11" operator="notEqual" stopIfTrue="1">
      <formula>0</formula>
    </cfRule>
    <cfRule type="cellIs" priority="7" dxfId="10" operator="equal" stopIfTrue="1">
      <formula>0</formula>
    </cfRule>
  </conditionalFormatting>
  <conditionalFormatting sqref="J37:K40">
    <cfRule type="cellIs" priority="4" dxfId="10" operator="equal" stopIfTrue="1">
      <formula>1</formula>
    </cfRule>
    <cfRule type="cellIs" priority="5" dxfId="11" operator="greaterThan" stopIfTrue="1">
      <formula>1</formula>
    </cfRule>
  </conditionalFormatting>
  <conditionalFormatting sqref="F50:K51">
    <cfRule type="notContainsBlanks" priority="2" dxfId="11" stopIfTrue="1">
      <formula>LEN(TRIM(F50))&gt;0</formula>
    </cfRule>
    <cfRule type="containsBlanks" priority="3" dxfId="10" stopIfTrue="1">
      <formula>LEN(TRIM(F50))=0</formula>
    </cfRule>
  </conditionalFormatting>
  <dataValidations count="7">
    <dataValidation type="list" allowBlank="1" showInputMessage="1" showErrorMessage="1" promptTitle="Yes or No" prompt="Pick from list" sqref="J85 F21 J97 F13">
      <formula1>answer_list</formula1>
    </dataValidation>
    <dataValidation type="list" allowBlank="1" showInputMessage="1" showErrorMessage="1" promptTitle="Reference Temperature" prompt="Pick from list" sqref="A17">
      <formula1>RefTemp_list</formula1>
    </dataValidation>
    <dataValidation type="list" allowBlank="1" showInputMessage="1" showErrorMessage="1" sqref="E112:H112">
      <formula1>"gravity,the on board pump"</formula1>
    </dataValidation>
    <dataValidation type="list" showInputMessage="1" showErrorMessage="1" promptTitle="Prover Material" prompt="Pick from list" sqref="C14:F14">
      <formula1>Material_list</formula1>
    </dataValidation>
    <dataValidation type="list" allowBlank="1" showInputMessage="1" showErrorMessage="1" promptTitle="Scale Grfaduation Unit" prompt="Pick from list" sqref="E12">
      <formula1>Scale_list</formula1>
    </dataValidation>
    <dataValidation type="list" allowBlank="1" showInputMessage="1" showErrorMessage="1" promptTitle="Nominal Volume Unit" prompt="Pick List" sqref="A12">
      <formula1>NomVal_list</formula1>
    </dataValidation>
    <dataValidation allowBlank="1" showInputMessage="1" showErrorMessage="1" promptTitle=" Nominal Value" prompt="Enter Nominal Value" sqref="C12:D12"/>
  </dataValidations>
  <printOptions horizontalCentered="1"/>
  <pageMargins left="0.5" right="0.5" top="1.25" bottom="0.5" header="0.75" footer="0.5"/>
  <pageSetup horizontalDpi="300" verticalDpi="300" orientation="portrait" scale="81" r:id="rId1"/>
  <headerFooter alignWithMargins="0">
    <oddHeader>&amp;L&amp;"Trebuchet MS,Regular"Calibration of LPG Provers&amp;R&amp;"Trebuchet MS,Regular"WAMRF-014, Rev. 29, 10/22/2014</oddHeader>
    <oddFooter>&amp;L&amp;"Trebuchet MS,Regular"&amp;F&amp;R&amp;"Trebuchet MS,Regular"&amp;A Worksheet Page &amp;P of &amp;N</oddFooter>
  </headerFooter>
  <rowBreaks count="2" manualBreakCount="2">
    <brk id="46" max="10" man="1"/>
    <brk id="82" max="10" man="1"/>
  </rowBreaks>
</worksheet>
</file>

<file path=xl/worksheets/sheet9.xml><?xml version="1.0" encoding="utf-8"?>
<worksheet xmlns="http://schemas.openxmlformats.org/spreadsheetml/2006/main" xmlns:r="http://schemas.openxmlformats.org/officeDocument/2006/relationships">
  <sheetPr>
    <tabColor indexed="58"/>
  </sheetPr>
  <dimension ref="A1:K6"/>
  <sheetViews>
    <sheetView showGridLines="0" zoomScalePageLayoutView="0" workbookViewId="0" topLeftCell="A1">
      <selection activeCell="A6" sqref="A6:K6"/>
    </sheetView>
  </sheetViews>
  <sheetFormatPr defaultColWidth="0" defaultRowHeight="15.75" zeroHeight="1"/>
  <cols>
    <col min="1" max="1" width="8.88671875" style="208" customWidth="1"/>
    <col min="2" max="2" width="11.88671875" style="208" customWidth="1"/>
    <col min="3" max="3" width="11.88671875" style="209" customWidth="1"/>
    <col min="4" max="5" width="12.77734375" style="208" customWidth="1"/>
    <col min="6" max="7" width="8.88671875" style="208" customWidth="1"/>
    <col min="8" max="11" width="7.77734375" style="208" customWidth="1"/>
    <col min="12" max="12" width="3.77734375" style="208" customWidth="1"/>
    <col min="13" max="16384" width="0" style="208" hidden="1" customWidth="1"/>
  </cols>
  <sheetData>
    <row r="1" spans="1:11" ht="19.5" thickBot="1">
      <c r="A1" s="355" t="s">
        <v>549</v>
      </c>
      <c r="B1" s="355"/>
      <c r="C1" s="355"/>
      <c r="D1" s="355"/>
      <c r="E1" s="355"/>
      <c r="F1" s="355"/>
      <c r="G1" s="355"/>
      <c r="H1" s="355"/>
      <c r="I1" s="355"/>
      <c r="J1" s="355"/>
      <c r="K1" s="126">
        <f>IF(RptNo="","","Report Number: "&amp;RptNo)</f>
      </c>
    </row>
    <row r="2" spans="1:11" ht="15">
      <c r="A2" s="356" t="s">
        <v>550</v>
      </c>
      <c r="B2" s="356"/>
      <c r="C2" s="356"/>
      <c r="D2" s="356"/>
      <c r="E2" s="356"/>
      <c r="F2" s="356"/>
      <c r="G2" s="356"/>
      <c r="H2" s="356"/>
      <c r="I2" s="356"/>
      <c r="J2" s="356"/>
      <c r="K2" s="356"/>
    </row>
    <row r="3" spans="1:11" ht="14.25">
      <c r="A3" s="259"/>
      <c r="B3" s="259"/>
      <c r="C3" s="259"/>
      <c r="D3" s="259"/>
      <c r="E3" s="259"/>
      <c r="F3" s="259"/>
      <c r="G3" s="259"/>
      <c r="H3" s="259"/>
      <c r="I3" s="259"/>
      <c r="J3" s="259"/>
      <c r="K3" s="259"/>
    </row>
    <row r="4" spans="1:11" ht="18.75" thickBot="1">
      <c r="A4" s="357" t="s">
        <v>551</v>
      </c>
      <c r="B4" s="357"/>
      <c r="C4" s="355"/>
      <c r="D4" s="355"/>
      <c r="E4" s="355"/>
      <c r="F4" s="355"/>
      <c r="G4" s="355"/>
      <c r="H4" s="355"/>
      <c r="I4" s="355"/>
      <c r="J4" s="355"/>
      <c r="K4" s="355"/>
    </row>
    <row r="5" spans="1:11" ht="66">
      <c r="A5" s="358" t="s">
        <v>317</v>
      </c>
      <c r="B5" s="359" t="s">
        <v>212</v>
      </c>
      <c r="C5" s="359" t="s">
        <v>213</v>
      </c>
      <c r="D5" s="359" t="str">
        <f>"Volume (Trial 1) "&amp;IF(AND(RefTempUnit="Designated Reference Temperature For This Calibration (ºC)",NomValUnit="Nominal Volume (L)"),"@ "&amp;RefT&amp;" ºC (L)",IF(AND(RefTempUnit="Designated Reference Temperature For This Calibration (ºF)",NomValUnit="Nominal Volume (L)"),"@ "&amp;RefT&amp;" ºF (L)",IF(AND(RefTempUnit="Designated Reference Temperature For This Calibration (ºC)",NomValUnit="Nominal Volume (gal)"),"@ "&amp;RefT&amp;" ºC (gal)",IF(AND(RefTempUnit="Designated Reference Temperature For This Calibration (ºF)",NomValUnit="Nominal Volume (gal)"),"@ "&amp;RefT&amp;" ºF (gal)"))))</f>
        <v>Volume (Trial 1) FALSE</v>
      </c>
      <c r="E5" s="359" t="str">
        <f>"Volume (Trial 2) "&amp;IF(AND(RefTempUnit="Designated Reference Temperature For This Calibration (ºC)",NomValUnit="Nominal Volume (L)"),"@ "&amp;RefT&amp;" ºC (L)",IF(AND(RefTempUnit="Designated Reference Temperature For This Calibration (ºF)",NomValUnit="Nominal Volume (L)"),"@ "&amp;RefT&amp;" ºF (L)",IF(AND(RefTempUnit="Designated Reference Temperature For This Calibration (ºC)",NomValUnit="Nominal Volume (gal)"),"@ "&amp;RefT&amp;" ºC (gal)",IF(AND(RefTempUnit="Designated Reference Temperature For This Calibration (ºF)",NomValUnit="Nominal Volume (gal)"),"@ "&amp;RefT&amp;" ºF (gal)"))))</f>
        <v>Volume (Trial 2) FALSE</v>
      </c>
      <c r="F5" s="359" t="s">
        <v>214</v>
      </c>
      <c r="G5" s="359" t="s">
        <v>215</v>
      </c>
      <c r="H5" s="359" t="s">
        <v>216</v>
      </c>
      <c r="I5" s="359" t="s">
        <v>217</v>
      </c>
      <c r="J5" s="359" t="s">
        <v>218</v>
      </c>
      <c r="K5" s="360" t="s">
        <v>219</v>
      </c>
    </row>
    <row r="6" spans="1:11" ht="14.25">
      <c r="A6" s="361">
        <f>IF('Prover Data Entry'!K22="","",'Prover Data Entry'!K22)</f>
      </c>
      <c r="B6" s="362">
        <f>IF(Cal_Date="","",Cal_Date)</f>
      </c>
      <c r="C6" s="363">
        <f>IF(RptNo="","",RptNo)</f>
      </c>
      <c r="D6" s="364">
        <f>Calculations!E29</f>
      </c>
      <c r="E6" s="364">
        <f>Calculations!E30</f>
      </c>
      <c r="F6" s="364">
        <f>IF(Humidity="","",Humidity)</f>
      </c>
      <c r="G6" s="364">
        <f>IF(Humidity_F="","",Humidity_F)</f>
      </c>
      <c r="H6" s="364">
        <f>IF(AirTemp="","",AirTemp)</f>
      </c>
      <c r="I6" s="364">
        <f>IF(AirTemp_F="","",AirTemp_F)</f>
      </c>
      <c r="J6" s="364">
        <f>IF(ISERROR(t_1+ProverTempCorr),"",t_1+ProverTempCorr)</f>
      </c>
      <c r="K6" s="365">
        <f>IF(ISERROR(t_2+ProverTempCorr),"",t_2+ProverTempCorr)</f>
      </c>
    </row>
    <row r="7" ht="14.25"/>
  </sheetData>
  <sheetProtection password="83AF" sheet="1" objects="1" scenarios="1"/>
  <printOptions/>
  <pageMargins left="0.75" right="0.75" top="1" bottom="1" header="0.5" footer="0.5"/>
  <pageSetup horizontalDpi="1200" verticalDpi="1200" orientation="landscape" scale="94" r:id="rId1"/>
  <headerFooter alignWithMargins="0">
    <oddHeader>&amp;L&amp;"Trebuchet MS,Regular"Calibration of LPG Provers&amp;R&amp;"Trebuchet MS,Regular"WAMRF-014, Rev. 29, 10/22/2014</oddHeader>
    <oddFooter>&amp;L&amp;"Trebuchet MS,Regular"&amp;F&amp;R&amp;"Trebuchet MS,Regular"&amp;A Worksheet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WSDA Metrology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 Transfer, LPG Prover</dc:title>
  <dc:subject>NIST HB 145, SOP 21</dc:subject>
  <dc:creator>Dan Wright</dc:creator>
  <cp:keywords/>
  <dc:description/>
  <cp:lastModifiedBy>Dan Wright</cp:lastModifiedBy>
  <cp:lastPrinted>2014-12-10T16:23:29Z</cp:lastPrinted>
  <dcterms:created xsi:type="dcterms:W3CDTF">2000-04-27T22:54:34Z</dcterms:created>
  <dcterms:modified xsi:type="dcterms:W3CDTF">2014-12-31T16:18:41Z</dcterms:modified>
  <cp:category/>
  <cp:version/>
  <cp:contentType/>
  <cp:contentStatus/>
</cp:coreProperties>
</file>