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comments2.xml" ContentType="application/vnd.openxmlformats-officedocument.spreadsheetml.comments+xml"/>
  <Override PartName="/xl/drawings/drawing3.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codeName="ThisWorkbook" defaultThemeVersion="124226"/>
  <mc:AlternateContent xmlns:mc="http://schemas.openxmlformats.org/markup-compatibility/2006">
    <mc:Choice Requires="x15">
      <x15ac:absPath xmlns:x15ac="http://schemas.microsoft.com/office/spreadsheetml/2010/11/ac" url="U:\205 Advanced\"/>
    </mc:Choice>
  </mc:AlternateContent>
  <xr:revisionPtr revIDLastSave="0" documentId="8_{43426320-149E-4343-BB15-D1B106053821}" xr6:coauthVersionLast="44" xr6:coauthVersionMax="44" xr10:uidLastSave="{00000000-0000-0000-0000-000000000000}"/>
  <bookViews>
    <workbookView xWindow="-28920" yWindow="-6555" windowWidth="29040" windowHeight="17640" xr2:uid="{00000000-000D-0000-FFFF-FFFF00000000}"/>
  </bookViews>
  <sheets>
    <sheet name="Software V&amp;V" sheetId="4" r:id="rId1"/>
    <sheet name="Revision Control" sheetId="6" r:id="rId2"/>
    <sheet name="Instructions" sheetId="5" r:id="rId3"/>
    <sheet name="5221 Uncertainty Calculations" sheetId="14" r:id="rId4"/>
    <sheet name="5321 Uncertainty Calculations" sheetId="13" r:id="rId5"/>
    <sheet name="lb Uncertainty Calculations" sheetId="15" r:id="rId6"/>
    <sheet name="Sensitivity Calculation Sheet" sheetId="8" r:id="rId7"/>
    <sheet name="MPE Table" sheetId="3" r:id="rId8"/>
  </sheets>
  <definedNames>
    <definedName name="Assumed_Rho_X" localSheetId="3">'5221 Uncertainty Calculations'!$M1</definedName>
    <definedName name="Assumed_Rho_X" localSheetId="4">'5321 Uncertainty Calculations'!$M1</definedName>
    <definedName name="Assumed_Rho_X" localSheetId="5">'lb Uncertainty Calculations'!$M1</definedName>
    <definedName name="Avg_Sens_R" localSheetId="3">'5221 Uncertainty Calculations'!$E$3</definedName>
    <definedName name="Avg_Sens_R" localSheetId="4">'5321 Uncertainty Calculations'!$E$3</definedName>
    <definedName name="Avg_Sens_R" localSheetId="5">'lb Uncertainty Calculations'!$E$3</definedName>
    <definedName name="Avg_Sens_Series_X" localSheetId="3">'5221 Uncertainty Calculations'!$I1</definedName>
    <definedName name="Avg_Sens_Series_X" localSheetId="4">'5321 Uncertainty Calculations'!$I1</definedName>
    <definedName name="Avg_Sens_Series_X" localSheetId="5">'lb Uncertainty Calculations'!$I1</definedName>
    <definedName name="Cal_Rho_A_R" localSheetId="3">'5221 Uncertainty Calculations'!$T$3</definedName>
    <definedName name="Cal_Rho_A_R" localSheetId="4">'5321 Uncertainty Calculations'!$T$3</definedName>
    <definedName name="Cal_Rho_A_R" localSheetId="5">'lb Uncertainty Calculations'!$T$3</definedName>
    <definedName name="CCE_X" localSheetId="3">'5221 Uncertainty Calculations'!$T1</definedName>
    <definedName name="CCE_X" localSheetId="4">'5321 Uncertainty Calculations'!$T1</definedName>
    <definedName name="CCE_X" localSheetId="5">'lb Uncertainty Calculations'!$T1</definedName>
    <definedName name="Eff_CCE_R" localSheetId="3">'5221 Uncertainty Calculations'!$V$3</definedName>
    <definedName name="Eff_CCE_R" localSheetId="4">'5321 Uncertainty Calculations'!$V$3</definedName>
    <definedName name="Eff_CCE_R" localSheetId="5">'lb Uncertainty Calculations'!$V$3</definedName>
    <definedName name="Eff_Rho_R" localSheetId="3">'5221 Uncertainty Calculations'!$M$3</definedName>
    <definedName name="Eff_Rho_R" localSheetId="4">'5321 Uncertainty Calculations'!$M$3</definedName>
    <definedName name="Eff_Rho_R" localSheetId="5">'lb Uncertainty Calculations'!$M$3</definedName>
    <definedName name="k_X" localSheetId="3">'5221 Uncertainty Calculations'!$X1</definedName>
    <definedName name="k_X" localSheetId="4">'5321 Uncertainty Calculations'!$X1</definedName>
    <definedName name="k_X" localSheetId="5">'lb Uncertainty Calculations'!$X1</definedName>
    <definedName name="Max_d_t_R" localSheetId="3">'5221 Uncertainty Calculations'!$U$3</definedName>
    <definedName name="Max_d_t_R" localSheetId="4">'5321 Uncertainty Calculations'!$U$3</definedName>
    <definedName name="Max_d_t_R" localSheetId="5">'lb Uncertainty Calculations'!$U$3</definedName>
    <definedName name="Max_d_t_X" localSheetId="3">'5221 Uncertainty Calculations'!$U1</definedName>
    <definedName name="Max_d_t_X" localSheetId="4">'5321 Uncertainty Calculations'!$U1</definedName>
    <definedName name="Max_d_t_X" localSheetId="5">'lb Uncertainty Calculations'!$U1</definedName>
    <definedName name="Max_Sens_R" localSheetId="3">'5221 Uncertainty Calculations'!$F$3</definedName>
    <definedName name="Max_Sens_R" localSheetId="4">'5321 Uncertainty Calculations'!$F$3</definedName>
    <definedName name="Max_Sens_R" localSheetId="5">'lb Uncertainty Calculations'!$F$3</definedName>
    <definedName name="Max_Sens_Series_X" localSheetId="3">'5221 Uncertainty Calculations'!$J1</definedName>
    <definedName name="Max_Sens_Series_X" localSheetId="4">'5321 Uncertainty Calculations'!$J1</definedName>
    <definedName name="Max_Sens_Series_X" localSheetId="5">'lb Uncertainty Calculations'!$J1</definedName>
    <definedName name="MaxAi_R" localSheetId="3">'5221 Uncertainty Calculations'!$H$3</definedName>
    <definedName name="MaxAi_R" localSheetId="4">'5321 Uncertainty Calculations'!$H$3</definedName>
    <definedName name="MaxAi_R" localSheetId="5">'lb Uncertainty Calculations'!$H$3</definedName>
    <definedName name="Min_Sens_R" localSheetId="3">'5221 Uncertainty Calculations'!$G$3</definedName>
    <definedName name="Min_Sens_R" localSheetId="4">'5321 Uncertainty Calculations'!$G$3</definedName>
    <definedName name="Min_Sens_R" localSheetId="5">'lb Uncertainty Calculations'!$G$3</definedName>
    <definedName name="Min_Sens_Series_X" localSheetId="3">'5221 Uncertainty Calculations'!$K1</definedName>
    <definedName name="Min_Sens_Series_X" localSheetId="4">'5321 Uncertainty Calculations'!$K1</definedName>
    <definedName name="Min_Sens_Series_X" localSheetId="5">'lb Uncertainty Calculations'!$K1</definedName>
    <definedName name="MinAi_R" localSheetId="3">'5221 Uncertainty Calculations'!$I$3</definedName>
    <definedName name="MinAi_R" localSheetId="4">'5321 Uncertainty Calculations'!$I$3</definedName>
    <definedName name="MinAi_R" localSheetId="5">'lb Uncertainty Calculations'!$I$3</definedName>
    <definedName name="MPE_X" localSheetId="3">'5221 Uncertainty Calculations'!$B1</definedName>
    <definedName name="MPE_X" localSheetId="4">'5321 Uncertainty Calculations'!$B1</definedName>
    <definedName name="MPE_X" localSheetId="5">'lb Uncertainty Calculations'!$B1</definedName>
    <definedName name="Nom_R" localSheetId="3">'5221 Uncertainty Calculations'!$B$3</definedName>
    <definedName name="Nom_R" localSheetId="4">'5321 Uncertainty Calculations'!$B$3</definedName>
    <definedName name="Nom_R" localSheetId="5">'lb Uncertainty Calculations'!$B$3</definedName>
    <definedName name="Nom_X" localSheetId="3">'5221 Uncertainty Calculations'!$A1</definedName>
    <definedName name="Nom_X" localSheetId="4">'5321 Uncertainty Calculations'!$A1</definedName>
    <definedName name="Nom_X" localSheetId="5">'lb Uncertainty Calculations'!$A1</definedName>
    <definedName name="_xlnm.Print_Area" localSheetId="3">'5221 Uncertainty Calculations'!$A$1:$AA$52</definedName>
    <definedName name="_xlnm.Print_Area" localSheetId="4">'5321 Uncertainty Calculations'!$A$1:$AA$52</definedName>
    <definedName name="Prop_Type_B_R" localSheetId="3">'5221 Uncertainty Calculations'!$D1</definedName>
    <definedName name="Prop_Type_B_R" localSheetId="4">'5321 Uncertainty Calculations'!$D1</definedName>
    <definedName name="Prop_Type_B_R" localSheetId="5">'lb Uncertainty Calculations'!$D1</definedName>
    <definedName name="RhoA_R" localSheetId="3">'5221 Uncertainty Calculations'!$S$3</definedName>
    <definedName name="RhoA_R" localSheetId="4">'5321 Uncertainty Calculations'!$S$3</definedName>
    <definedName name="RhoA_R" localSheetId="5">'lb Uncertainty Calculations'!$S$3</definedName>
    <definedName name="RhoA_X" localSheetId="3">'5221 Uncertainty Calculations'!$R1</definedName>
    <definedName name="RhoA_X" localSheetId="4">'5321 Uncertainty Calculations'!$R1</definedName>
    <definedName name="RhoA_X" localSheetId="5">'lb Uncertainty Calculations'!$R1</definedName>
    <definedName name="Type_A_of_series" localSheetId="3">'5221 Uncertainty Calculations'!$E1</definedName>
    <definedName name="Type_A_of_series" localSheetId="4">'5321 Uncertainty Calculations'!$E1</definedName>
    <definedName name="Type_A_of_series" localSheetId="5">'lb Uncertainty Calculations'!$E1</definedName>
    <definedName name="u_BP_R" localSheetId="3">'5221 Uncertainty Calculations'!$Q$3</definedName>
    <definedName name="u_BP_R" localSheetId="4">'5321 Uncertainty Calculations'!$Q$3</definedName>
    <definedName name="u_BP_R" localSheetId="5">'lb Uncertainty Calculations'!$Q$3</definedName>
    <definedName name="u_BP_X" localSheetId="3">'5221 Uncertainty Calculations'!$Q1</definedName>
    <definedName name="u_BP_X" localSheetId="4">'5321 Uncertainty Calculations'!$Q1</definedName>
    <definedName name="u_BP_X" localSheetId="5">'lb Uncertainty Calculations'!$Q1</definedName>
    <definedName name="u_Cal_R" localSheetId="3">'5221 Uncertainty Calculations'!$D$3</definedName>
    <definedName name="u_Cal_R" localSheetId="4">'5321 Uncertainty Calculations'!$D$3</definedName>
    <definedName name="u_Cal_R" localSheetId="5">'lb Uncertainty Calculations'!$D$3</definedName>
    <definedName name="u_Max_d_t_R" localSheetId="3">'5221 Uncertainty Calculations'!$L$3</definedName>
    <definedName name="u_Max_d_t_R" localSheetId="4">'5321 Uncertainty Calculations'!$L$3</definedName>
    <definedName name="u_Max_d_t_R" localSheetId="5">'lb Uncertainty Calculations'!$L$3</definedName>
    <definedName name="u_Max_d_t_X" localSheetId="3">'5221 Uncertainty Calculations'!$V1</definedName>
    <definedName name="u_Max_d_t_X" localSheetId="4">'5321 Uncertainty Calculations'!$V1</definedName>
    <definedName name="u_Max_d_t_X" localSheetId="5">'lb Uncertainty Calculations'!$V1</definedName>
    <definedName name="u_R" localSheetId="3">'5221 Uncertainty Calculations'!$J$3</definedName>
    <definedName name="u_R" localSheetId="4">'5321 Uncertainty Calculations'!$J$3</definedName>
    <definedName name="u_R" localSheetId="5">'lb Uncertainty Calculations'!$J$3</definedName>
    <definedName name="u_RH_R" localSheetId="3">'5221 Uncertainty Calculations'!$P$3</definedName>
    <definedName name="u_RH_R" localSheetId="4">'5321 Uncertainty Calculations'!$P$3</definedName>
    <definedName name="u_RH_R" localSheetId="5">'lb Uncertainty Calculations'!$P$3</definedName>
    <definedName name="u_RH_X" localSheetId="3">'5221 Uncertainty Calculations'!$P1</definedName>
    <definedName name="u_RH_X" localSheetId="4">'5321 Uncertainty Calculations'!$P1</definedName>
    <definedName name="u_RH_X" localSheetId="5">'lb Uncertainty Calculations'!$P1</definedName>
    <definedName name="u_Rho_R" localSheetId="3">'5221 Uncertainty Calculations'!$N$3</definedName>
    <definedName name="u_Rho_R" localSheetId="4">'5321 Uncertainty Calculations'!$N$3</definedName>
    <definedName name="u_Rho_R" localSheetId="5">'lb Uncertainty Calculations'!$N$3</definedName>
    <definedName name="u_Rho_X" localSheetId="3">'5221 Uncertainty Calculations'!$N1</definedName>
    <definedName name="u_Rho_X" localSheetId="4">'5321 Uncertainty Calculations'!$N1</definedName>
    <definedName name="u_Rho_X" localSheetId="5">'lb Uncertainty Calculations'!$N1</definedName>
    <definedName name="u_Sens_R" localSheetId="3">'5221 Uncertainty Calculations'!$X$3</definedName>
    <definedName name="u_Sens_R" localSheetId="4">'5321 Uncertainty Calculations'!$X$3</definedName>
    <definedName name="u_Sens_R" localSheetId="5">'lb Uncertainty Calculations'!$X$3</definedName>
    <definedName name="u_Sens_X" localSheetId="3">'5221 Uncertainty Calculations'!$L1</definedName>
    <definedName name="u_Sens_X" localSheetId="4">'5321 Uncertainty Calculations'!$L1</definedName>
    <definedName name="u_Sens_X" localSheetId="5">'lb Uncertainty Calculations'!$L1</definedName>
    <definedName name="u_Series1_X" localSheetId="3">'5221 Uncertainty Calculations'!$F1</definedName>
    <definedName name="u_Series1_X" localSheetId="4">'5321 Uncertainty Calculations'!$F1</definedName>
    <definedName name="u_Series1_X" localSheetId="5">'lb Uncertainty Calculations'!$F1</definedName>
    <definedName name="u_t_R" localSheetId="3">'5221 Uncertainty Calculations'!$O$3</definedName>
    <definedName name="u_t_R" localSheetId="4">'5321 Uncertainty Calculations'!$O$3</definedName>
    <definedName name="u_t_R" localSheetId="5">'lb Uncertainty Calculations'!$O$3</definedName>
    <definedName name="u_t_X" localSheetId="3">'5221 Uncertainty Calculations'!$O1</definedName>
    <definedName name="u_t_X" localSheetId="4">'5321 Uncertainty Calculations'!$O1</definedName>
    <definedName name="u_t_X" localSheetId="5">'lb Uncertainty Calculations'!$O1</definedName>
    <definedName name="u²_ABC_X" localSheetId="3">'5221 Uncertainty Calculations'!$H1</definedName>
    <definedName name="u²_ABC_X" localSheetId="4">'5321 Uncertainty Calculations'!$H1</definedName>
    <definedName name="u²_ABC_X" localSheetId="5">'lb Uncertainty Calculations'!$H1</definedName>
    <definedName name="u²_R" localSheetId="3">'5221 Uncertainty Calculations'!$K$3</definedName>
    <definedName name="u²_R" localSheetId="4">'5321 Uncertainty Calculations'!$K$3</definedName>
    <definedName name="u²_R" localSheetId="5">'lb Uncertainty Calculations'!$K$3</definedName>
    <definedName name="uc_X" localSheetId="3">'5221 Uncertainty Calculations'!$W1</definedName>
    <definedName name="uc_X" localSheetId="4">'5321 Uncertainty Calculations'!$W1</definedName>
    <definedName name="uc_X" localSheetId="5">'lb Uncertainty Calculations'!$W1</definedName>
    <definedName name="Uk_X" localSheetId="3">'5221 Uncertainty Calculations'!$Y1</definedName>
    <definedName name="Uk_X" localSheetId="4">'5321 Uncertainty Calculations'!$Y1</definedName>
    <definedName name="Uk_X" localSheetId="5">'lb Uncertainty Calculations'!$Y1</definedName>
    <definedName name="Vol_R" localSheetId="3">'5221 Uncertainty Calculations'!$A$3</definedName>
    <definedName name="Vol_R" localSheetId="4">'5321 Uncertainty Calculations'!$A$3</definedName>
    <definedName name="Vol_R" localSheetId="5">'lb Uncertainty Calculations'!$A$3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 i="14" l="1"/>
  <c r="X3" i="13"/>
  <c r="X3" i="15"/>
  <c r="L8" i="15"/>
  <c r="A3" i="15"/>
  <c r="J26" i="8" l="1"/>
  <c r="H51" i="13" l="1"/>
  <c r="B41" i="13"/>
  <c r="B42" i="13"/>
  <c r="B10" i="13"/>
  <c r="L10" i="13" s="1"/>
  <c r="AG10" i="13" s="1"/>
  <c r="H10" i="13"/>
  <c r="T10" i="13"/>
  <c r="V10" i="13"/>
  <c r="W10" i="13"/>
  <c r="AA10" i="13"/>
  <c r="AA18" i="15"/>
  <c r="T18" i="15"/>
  <c r="V18" i="15" s="1"/>
  <c r="H18" i="15"/>
  <c r="B18" i="15"/>
  <c r="AA23" i="15"/>
  <c r="T23" i="15"/>
  <c r="V23" i="15" s="1"/>
  <c r="H23" i="15"/>
  <c r="B23" i="15"/>
  <c r="AA28" i="15"/>
  <c r="T28" i="15"/>
  <c r="V28" i="15" s="1"/>
  <c r="H28" i="15"/>
  <c r="B28" i="15"/>
  <c r="AA33" i="15"/>
  <c r="T33" i="15"/>
  <c r="V33" i="15" s="1"/>
  <c r="H33" i="15"/>
  <c r="B33" i="15"/>
  <c r="AA38" i="15"/>
  <c r="T38" i="15"/>
  <c r="V38" i="15" s="1"/>
  <c r="H38" i="15"/>
  <c r="B38" i="15"/>
  <c r="AA43" i="15"/>
  <c r="T43" i="15"/>
  <c r="V43" i="15" s="1"/>
  <c r="H43" i="15"/>
  <c r="B43" i="15"/>
  <c r="AA48" i="15"/>
  <c r="T48" i="15"/>
  <c r="V48" i="15" s="1"/>
  <c r="H48" i="15"/>
  <c r="B48" i="15"/>
  <c r="AA12" i="15"/>
  <c r="T12" i="15"/>
  <c r="V12" i="15" s="1"/>
  <c r="H12" i="15"/>
  <c r="B12" i="15"/>
  <c r="AA30" i="14"/>
  <c r="T30" i="14"/>
  <c r="R30" i="14"/>
  <c r="V30" i="14" s="1"/>
  <c r="H30" i="14"/>
  <c r="B30" i="14"/>
  <c r="AA30" i="13"/>
  <c r="T30" i="13"/>
  <c r="V30" i="13" s="1"/>
  <c r="H30" i="13"/>
  <c r="B30" i="13"/>
  <c r="AA35" i="14"/>
  <c r="T35" i="14"/>
  <c r="R35" i="14"/>
  <c r="H35" i="14"/>
  <c r="B35" i="14"/>
  <c r="AA35" i="13"/>
  <c r="T35" i="13"/>
  <c r="V35" i="13" s="1"/>
  <c r="H35" i="13"/>
  <c r="B35" i="13"/>
  <c r="AA40" i="14"/>
  <c r="T40" i="14"/>
  <c r="V40" i="14" s="1"/>
  <c r="R40" i="14"/>
  <c r="H40" i="14"/>
  <c r="B40" i="14"/>
  <c r="AA40" i="13"/>
  <c r="T40" i="13"/>
  <c r="V40" i="13" s="1"/>
  <c r="H40" i="13"/>
  <c r="B40" i="13"/>
  <c r="AA45" i="14"/>
  <c r="T45" i="14"/>
  <c r="R45" i="14"/>
  <c r="H45" i="14"/>
  <c r="B45" i="14"/>
  <c r="AA45" i="13"/>
  <c r="T45" i="13"/>
  <c r="V45" i="13" s="1"/>
  <c r="H45" i="13"/>
  <c r="B45" i="13"/>
  <c r="AA50" i="14"/>
  <c r="T50" i="14"/>
  <c r="R50" i="14"/>
  <c r="H50" i="14"/>
  <c r="B50" i="14"/>
  <c r="AA50" i="13"/>
  <c r="T50" i="13"/>
  <c r="V50" i="13" s="1"/>
  <c r="H50" i="13"/>
  <c r="B50" i="13"/>
  <c r="AA25" i="14"/>
  <c r="T25" i="14"/>
  <c r="R25" i="14"/>
  <c r="H25" i="14"/>
  <c r="B25" i="14"/>
  <c r="AA25" i="13"/>
  <c r="T25" i="13"/>
  <c r="V25" i="13" s="1"/>
  <c r="H25" i="13"/>
  <c r="B25" i="13"/>
  <c r="AA20" i="14"/>
  <c r="T20" i="14"/>
  <c r="R20" i="14"/>
  <c r="H20" i="14"/>
  <c r="B20" i="14"/>
  <c r="AA20" i="13"/>
  <c r="T20" i="13"/>
  <c r="V20" i="13" s="1"/>
  <c r="H20" i="13"/>
  <c r="B20" i="13"/>
  <c r="AA10" i="14"/>
  <c r="W10" i="14"/>
  <c r="AE10" i="14" s="1"/>
  <c r="T10" i="14"/>
  <c r="V10" i="14" s="1"/>
  <c r="H10" i="14"/>
  <c r="B10" i="14"/>
  <c r="AA15" i="13"/>
  <c r="T15" i="13"/>
  <c r="V15" i="13" s="1"/>
  <c r="H15" i="13"/>
  <c r="B15" i="13"/>
  <c r="AA15" i="15"/>
  <c r="T15" i="15"/>
  <c r="V15" i="15" s="1"/>
  <c r="H15" i="15"/>
  <c r="B15" i="15"/>
  <c r="AA15" i="14"/>
  <c r="T15" i="14"/>
  <c r="R15" i="14"/>
  <c r="H15" i="14"/>
  <c r="B15" i="14"/>
  <c r="Y10" i="13" l="1"/>
  <c r="Z10" i="13" s="1"/>
  <c r="AF10" i="13"/>
  <c r="AH10" i="13"/>
  <c r="AE10" i="13"/>
  <c r="V50" i="14"/>
  <c r="V45" i="14"/>
  <c r="V35" i="14"/>
  <c r="V25" i="14"/>
  <c r="V20" i="14"/>
  <c r="L18" i="15"/>
  <c r="L23" i="15"/>
  <c r="L28" i="15"/>
  <c r="L33" i="15"/>
  <c r="L38" i="15"/>
  <c r="L43" i="15"/>
  <c r="L48" i="15"/>
  <c r="L12" i="15"/>
  <c r="L30" i="13"/>
  <c r="L30" i="14"/>
  <c r="L35" i="13"/>
  <c r="L35" i="14"/>
  <c r="L40" i="14"/>
  <c r="L40" i="13"/>
  <c r="L45" i="13"/>
  <c r="L45" i="14"/>
  <c r="L50" i="14"/>
  <c r="L50" i="13"/>
  <c r="Y10" i="14"/>
  <c r="Z10" i="14" s="1"/>
  <c r="AF10" i="14"/>
  <c r="L25" i="13"/>
  <c r="L25" i="14"/>
  <c r="L20" i="13"/>
  <c r="L20" i="14"/>
  <c r="AH10" i="14"/>
  <c r="L10" i="14"/>
  <c r="AG10" i="14" s="1"/>
  <c r="V15" i="14"/>
  <c r="L15" i="14"/>
  <c r="L15" i="15"/>
  <c r="L15" i="13"/>
  <c r="T49" i="15"/>
  <c r="T47" i="15"/>
  <c r="T46" i="15"/>
  <c r="T45" i="15"/>
  <c r="T44" i="15"/>
  <c r="T42" i="15"/>
  <c r="T41" i="15"/>
  <c r="T40" i="15"/>
  <c r="T39" i="15"/>
  <c r="T37" i="15"/>
  <c r="T36" i="15"/>
  <c r="T35" i="15"/>
  <c r="T34" i="15"/>
  <c r="T32" i="15"/>
  <c r="T31" i="15"/>
  <c r="T30" i="15"/>
  <c r="T29" i="15"/>
  <c r="T27" i="15"/>
  <c r="T26" i="15"/>
  <c r="T25" i="15"/>
  <c r="T24" i="15"/>
  <c r="T22" i="15"/>
  <c r="T21" i="15"/>
  <c r="T20" i="15"/>
  <c r="T19" i="15"/>
  <c r="T17" i="15"/>
  <c r="T16" i="15"/>
  <c r="T14" i="15"/>
  <c r="T13" i="15"/>
  <c r="T11" i="15"/>
  <c r="T10" i="15"/>
  <c r="T9" i="15"/>
  <c r="T8" i="15"/>
  <c r="T52" i="13"/>
  <c r="T51" i="13"/>
  <c r="T49" i="13"/>
  <c r="T48" i="13"/>
  <c r="T47" i="13"/>
  <c r="T46" i="13"/>
  <c r="T44" i="13"/>
  <c r="T43" i="13"/>
  <c r="T42" i="13"/>
  <c r="T41" i="13"/>
  <c r="T39" i="13"/>
  <c r="T38" i="13"/>
  <c r="T37" i="13"/>
  <c r="T36" i="13"/>
  <c r="T34" i="13"/>
  <c r="T33" i="13"/>
  <c r="T32" i="13"/>
  <c r="T31" i="13"/>
  <c r="T29" i="13"/>
  <c r="T28" i="13"/>
  <c r="T27" i="13"/>
  <c r="T26" i="13"/>
  <c r="T24" i="13"/>
  <c r="T23" i="13"/>
  <c r="T22" i="13"/>
  <c r="T21" i="13"/>
  <c r="T19" i="13"/>
  <c r="T18" i="13"/>
  <c r="T17" i="13"/>
  <c r="T16" i="13"/>
  <c r="T14" i="13"/>
  <c r="T13" i="13"/>
  <c r="T12" i="13"/>
  <c r="T11" i="13"/>
  <c r="T9" i="13"/>
  <c r="T8" i="13"/>
  <c r="T52" i="14"/>
  <c r="T51" i="14"/>
  <c r="T49" i="14"/>
  <c r="T48" i="14"/>
  <c r="T47" i="14"/>
  <c r="T46" i="14"/>
  <c r="T44" i="14"/>
  <c r="T43" i="14"/>
  <c r="T42" i="14"/>
  <c r="T41" i="14"/>
  <c r="T39" i="14"/>
  <c r="T38" i="14"/>
  <c r="T37" i="14"/>
  <c r="T36" i="14"/>
  <c r="T34" i="14"/>
  <c r="T33" i="14"/>
  <c r="T32" i="14"/>
  <c r="T31" i="14"/>
  <c r="T29" i="14"/>
  <c r="T28" i="14"/>
  <c r="T27" i="14"/>
  <c r="T26" i="14"/>
  <c r="T24" i="14"/>
  <c r="T23" i="14"/>
  <c r="T22" i="14"/>
  <c r="T21" i="14"/>
  <c r="T19" i="14"/>
  <c r="T18" i="14"/>
  <c r="T17" i="14"/>
  <c r="T16" i="14"/>
  <c r="T14" i="14"/>
  <c r="T13" i="14"/>
  <c r="T12" i="14"/>
  <c r="T11" i="14"/>
  <c r="T9" i="14"/>
  <c r="T8" i="14"/>
  <c r="B46" i="15"/>
  <c r="B52" i="14" l="1"/>
  <c r="B51" i="14"/>
  <c r="B49" i="14"/>
  <c r="B48" i="14"/>
  <c r="B47" i="14"/>
  <c r="B46" i="14"/>
  <c r="B44" i="14"/>
  <c r="B43" i="14"/>
  <c r="B42" i="14"/>
  <c r="B41" i="14"/>
  <c r="B39" i="14"/>
  <c r="B38" i="14"/>
  <c r="B37" i="14"/>
  <c r="B36" i="14"/>
  <c r="B34" i="14"/>
  <c r="B33" i="14"/>
  <c r="B32" i="14"/>
  <c r="B31" i="14"/>
  <c r="B29" i="14"/>
  <c r="B28" i="14"/>
  <c r="B27" i="14"/>
  <c r="B26" i="14"/>
  <c r="B24" i="14"/>
  <c r="B23" i="14"/>
  <c r="B22" i="14"/>
  <c r="B21" i="14"/>
  <c r="B19" i="14"/>
  <c r="B18" i="14"/>
  <c r="B17" i="14"/>
  <c r="B16" i="14"/>
  <c r="B14" i="14"/>
  <c r="B13" i="14"/>
  <c r="B12" i="14"/>
  <c r="B11" i="14"/>
  <c r="B9" i="14"/>
  <c r="B8" i="14"/>
  <c r="B52" i="13"/>
  <c r="B51" i="13"/>
  <c r="L51" i="13" s="1"/>
  <c r="B49" i="13"/>
  <c r="B48" i="13"/>
  <c r="B47" i="13"/>
  <c r="B46" i="13"/>
  <c r="B44" i="13"/>
  <c r="B43" i="13"/>
  <c r="B39" i="13"/>
  <c r="B38" i="13"/>
  <c r="B37" i="13"/>
  <c r="B36" i="13"/>
  <c r="B34" i="13"/>
  <c r="B33" i="13"/>
  <c r="B32" i="13"/>
  <c r="B31" i="13"/>
  <c r="B29" i="13"/>
  <c r="B28" i="13"/>
  <c r="B27" i="13"/>
  <c r="B26" i="13"/>
  <c r="B24" i="13"/>
  <c r="B23" i="13"/>
  <c r="B22" i="13"/>
  <c r="B21" i="13"/>
  <c r="B19" i="13"/>
  <c r="B18" i="13"/>
  <c r="B17" i="13"/>
  <c r="B16" i="13"/>
  <c r="B14" i="13"/>
  <c r="B13" i="13"/>
  <c r="B12" i="13"/>
  <c r="B11" i="13"/>
  <c r="B9" i="13"/>
  <c r="B8" i="13"/>
  <c r="W8" i="13" s="1"/>
  <c r="B49" i="15"/>
  <c r="B47" i="15"/>
  <c r="B45" i="15"/>
  <c r="B44" i="15"/>
  <c r="B42" i="15"/>
  <c r="B41" i="15"/>
  <c r="B40" i="15"/>
  <c r="B39" i="15"/>
  <c r="B37" i="15"/>
  <c r="B36" i="15"/>
  <c r="B35" i="15"/>
  <c r="B34" i="15"/>
  <c r="B32" i="15"/>
  <c r="B31" i="15"/>
  <c r="B30" i="15"/>
  <c r="B29" i="15"/>
  <c r="B27" i="15"/>
  <c r="B26" i="15"/>
  <c r="B25" i="15"/>
  <c r="B24" i="15"/>
  <c r="B22" i="15"/>
  <c r="B21" i="15"/>
  <c r="B20" i="15"/>
  <c r="B19" i="15"/>
  <c r="B17" i="15"/>
  <c r="B16" i="15"/>
  <c r="B14" i="15"/>
  <c r="B13" i="15"/>
  <c r="B11" i="15"/>
  <c r="B10" i="15"/>
  <c r="B9" i="15"/>
  <c r="B8" i="15"/>
  <c r="L26" i="8"/>
  <c r="K26" i="8"/>
  <c r="L3" i="14"/>
  <c r="L3" i="13"/>
  <c r="L3" i="15"/>
  <c r="H52" i="14" l="1"/>
  <c r="H47" i="14"/>
  <c r="H42" i="14"/>
  <c r="H37" i="14"/>
  <c r="H32" i="14"/>
  <c r="H27" i="14"/>
  <c r="H22" i="14"/>
  <c r="H17" i="14"/>
  <c r="H12" i="14"/>
  <c r="H11" i="14"/>
  <c r="H9" i="14"/>
  <c r="H8" i="14"/>
  <c r="R51" i="14"/>
  <c r="H51" i="14" s="1"/>
  <c r="R49" i="14"/>
  <c r="H49" i="14" s="1"/>
  <c r="R48" i="14"/>
  <c r="H48" i="14" s="1"/>
  <c r="R46" i="14"/>
  <c r="H46" i="14" s="1"/>
  <c r="R44" i="14"/>
  <c r="H44" i="14" s="1"/>
  <c r="R43" i="14"/>
  <c r="H43" i="14" s="1"/>
  <c r="R41" i="14"/>
  <c r="H41" i="14" s="1"/>
  <c r="R39" i="14"/>
  <c r="H39" i="14" s="1"/>
  <c r="R38" i="14"/>
  <c r="H38" i="14" s="1"/>
  <c r="R36" i="14"/>
  <c r="H36" i="14" s="1"/>
  <c r="R34" i="14"/>
  <c r="H34" i="14" s="1"/>
  <c r="R33" i="14"/>
  <c r="H33" i="14" s="1"/>
  <c r="R31" i="14"/>
  <c r="H31" i="14" s="1"/>
  <c r="R29" i="14"/>
  <c r="H29" i="14" s="1"/>
  <c r="R28" i="14"/>
  <c r="H28" i="14" s="1"/>
  <c r="R26" i="14"/>
  <c r="H26" i="14" s="1"/>
  <c r="R24" i="14"/>
  <c r="H24" i="14" s="1"/>
  <c r="R23" i="14"/>
  <c r="H23" i="14" s="1"/>
  <c r="R21" i="14"/>
  <c r="H21" i="14" s="1"/>
  <c r="R19" i="14"/>
  <c r="H19" i="14" s="1"/>
  <c r="R18" i="14"/>
  <c r="H18" i="14" s="1"/>
  <c r="R16" i="14"/>
  <c r="H16" i="14" s="1"/>
  <c r="R14" i="14"/>
  <c r="H14" i="14" s="1"/>
  <c r="R13" i="14"/>
  <c r="H13" i="14" s="1"/>
  <c r="L1" i="15" l="1"/>
  <c r="L1" i="13"/>
  <c r="H49" i="15" l="1"/>
  <c r="H47" i="15"/>
  <c r="H46" i="15"/>
  <c r="H45" i="15"/>
  <c r="H44" i="15"/>
  <c r="H42" i="15"/>
  <c r="H41" i="15"/>
  <c r="H40" i="15"/>
  <c r="H39" i="15"/>
  <c r="H37" i="15"/>
  <c r="H36" i="15"/>
  <c r="H35" i="15"/>
  <c r="H34" i="15"/>
  <c r="H32" i="15"/>
  <c r="H31" i="15"/>
  <c r="H30" i="15"/>
  <c r="H29" i="15"/>
  <c r="H27" i="15"/>
  <c r="H26" i="15"/>
  <c r="H25" i="15"/>
  <c r="H24" i="15"/>
  <c r="H22" i="15"/>
  <c r="H21" i="15"/>
  <c r="H20" i="15"/>
  <c r="H19" i="15"/>
  <c r="H17" i="15"/>
  <c r="H16" i="15"/>
  <c r="H14" i="15"/>
  <c r="H13" i="15"/>
  <c r="H11" i="15"/>
  <c r="H10" i="15"/>
  <c r="H9" i="15"/>
  <c r="H8" i="15"/>
  <c r="AA49" i="15"/>
  <c r="AA47" i="15"/>
  <c r="AA46" i="15"/>
  <c r="AA45" i="15"/>
  <c r="AA44" i="15"/>
  <c r="AA42" i="15"/>
  <c r="AA41" i="15"/>
  <c r="AA40" i="15"/>
  <c r="AA39" i="15"/>
  <c r="AA37" i="15"/>
  <c r="AA36" i="15"/>
  <c r="AA35" i="15"/>
  <c r="AA34" i="15"/>
  <c r="AA32" i="15"/>
  <c r="AA31" i="15"/>
  <c r="AA30" i="15"/>
  <c r="AA29" i="15"/>
  <c r="AA27" i="15"/>
  <c r="AA26" i="15"/>
  <c r="AA25" i="15"/>
  <c r="AA24" i="15"/>
  <c r="AA22" i="15"/>
  <c r="AA21" i="15"/>
  <c r="AA20" i="15"/>
  <c r="AA19" i="15"/>
  <c r="AA17" i="15"/>
  <c r="AA16" i="15"/>
  <c r="AA14" i="15"/>
  <c r="AA13" i="15"/>
  <c r="AA11" i="15"/>
  <c r="AA10" i="15"/>
  <c r="AA9" i="15"/>
  <c r="AA8" i="15"/>
  <c r="AH7" i="15"/>
  <c r="B7" i="15"/>
  <c r="K3" i="15"/>
  <c r="J3" i="15" s="1"/>
  <c r="AA51" i="14"/>
  <c r="AA49" i="13"/>
  <c r="H49" i="13"/>
  <c r="D23" i="15" l="1"/>
  <c r="D43" i="15"/>
  <c r="D28" i="15"/>
  <c r="D48" i="15"/>
  <c r="D33" i="15"/>
  <c r="D18" i="15"/>
  <c r="D38" i="15"/>
  <c r="D15" i="15"/>
  <c r="F15" i="15" s="1"/>
  <c r="W15" i="15" s="1"/>
  <c r="AD15" i="15" s="1"/>
  <c r="D12" i="15"/>
  <c r="D49" i="15"/>
  <c r="F49" i="15" s="1"/>
  <c r="D44" i="15"/>
  <c r="F44" i="15" s="1"/>
  <c r="D39" i="15"/>
  <c r="F39" i="15" s="1"/>
  <c r="D34" i="15"/>
  <c r="F34" i="15" s="1"/>
  <c r="D29" i="15"/>
  <c r="F29" i="15" s="1"/>
  <c r="D24" i="15"/>
  <c r="F24" i="15" s="1"/>
  <c r="D19" i="15"/>
  <c r="F19" i="15" s="1"/>
  <c r="D13" i="15"/>
  <c r="F13" i="15" s="1"/>
  <c r="D8" i="15"/>
  <c r="F8" i="15" s="1"/>
  <c r="D46" i="15"/>
  <c r="F46" i="15" s="1"/>
  <c r="D41" i="15"/>
  <c r="F41" i="15" s="1"/>
  <c r="D36" i="15"/>
  <c r="F36" i="15" s="1"/>
  <c r="D31" i="15"/>
  <c r="F31" i="15" s="1"/>
  <c r="D26" i="15"/>
  <c r="F26" i="15" s="1"/>
  <c r="D21" i="15"/>
  <c r="F21" i="15" s="1"/>
  <c r="D10" i="15"/>
  <c r="F10" i="15" s="1"/>
  <c r="D47" i="15"/>
  <c r="F47" i="15" s="1"/>
  <c r="D42" i="15"/>
  <c r="F42" i="15" s="1"/>
  <c r="D37" i="15"/>
  <c r="F37" i="15" s="1"/>
  <c r="D32" i="15"/>
  <c r="F32" i="15" s="1"/>
  <c r="D27" i="15"/>
  <c r="F27" i="15" s="1"/>
  <c r="D22" i="15"/>
  <c r="F22" i="15" s="1"/>
  <c r="D17" i="15"/>
  <c r="F17" i="15" s="1"/>
  <c r="D11" i="15"/>
  <c r="F11" i="15" s="1"/>
  <c r="D16" i="15"/>
  <c r="F16" i="15" s="1"/>
  <c r="D45" i="15"/>
  <c r="F45" i="15" s="1"/>
  <c r="D40" i="15"/>
  <c r="F40" i="15" s="1"/>
  <c r="D35" i="15"/>
  <c r="F35" i="15" s="1"/>
  <c r="D30" i="15"/>
  <c r="F30" i="15" s="1"/>
  <c r="D25" i="15"/>
  <c r="F25" i="15" s="1"/>
  <c r="D20" i="15"/>
  <c r="F20" i="15" s="1"/>
  <c r="D14" i="15"/>
  <c r="F14" i="15" s="1"/>
  <c r="D9" i="15"/>
  <c r="F9" i="15" s="1"/>
  <c r="L26" i="15"/>
  <c r="L46" i="15"/>
  <c r="L17" i="15"/>
  <c r="L22" i="15"/>
  <c r="L27" i="15"/>
  <c r="L32" i="15"/>
  <c r="L37" i="15"/>
  <c r="L47" i="15"/>
  <c r="L36" i="15"/>
  <c r="L13" i="15"/>
  <c r="L19" i="15"/>
  <c r="L24" i="15"/>
  <c r="L34" i="15"/>
  <c r="L44" i="15"/>
  <c r="L16" i="15"/>
  <c r="L9" i="15"/>
  <c r="L20" i="15"/>
  <c r="L25" i="15"/>
  <c r="L30" i="15"/>
  <c r="L35" i="15"/>
  <c r="L40" i="15"/>
  <c r="L41" i="15"/>
  <c r="V7" i="15"/>
  <c r="L45" i="15"/>
  <c r="V7" i="14"/>
  <c r="V7" i="13"/>
  <c r="F48" i="15" l="1"/>
  <c r="W48" i="15" s="1"/>
  <c r="AD48" i="15" s="1"/>
  <c r="F38" i="15"/>
  <c r="W38" i="15" s="1"/>
  <c r="AD38" i="15" s="1"/>
  <c r="F28" i="15"/>
  <c r="W28" i="15" s="1"/>
  <c r="AD28" i="15" s="1"/>
  <c r="F18" i="15"/>
  <c r="W18" i="15" s="1"/>
  <c r="AD18" i="15" s="1"/>
  <c r="F43" i="15"/>
  <c r="W43" i="15" s="1"/>
  <c r="AD43" i="15" s="1"/>
  <c r="F33" i="15"/>
  <c r="W33" i="15" s="1"/>
  <c r="AD33" i="15" s="1"/>
  <c r="F23" i="15"/>
  <c r="W23" i="15" s="1"/>
  <c r="AD23" i="15" s="1"/>
  <c r="F12" i="15"/>
  <c r="W12" i="15" s="1"/>
  <c r="AF15" i="15"/>
  <c r="AG15" i="15"/>
  <c r="Y15" i="15"/>
  <c r="Z15" i="15" s="1"/>
  <c r="AE15" i="15"/>
  <c r="AH15" i="15"/>
  <c r="L10" i="15"/>
  <c r="L42" i="15"/>
  <c r="L14" i="15"/>
  <c r="L49" i="15"/>
  <c r="L29" i="15"/>
  <c r="L11" i="15"/>
  <c r="L31" i="15"/>
  <c r="L21" i="15"/>
  <c r="L39" i="15"/>
  <c r="H52" i="13"/>
  <c r="H48" i="13"/>
  <c r="H47" i="13"/>
  <c r="H46" i="13"/>
  <c r="H44" i="13"/>
  <c r="H43" i="13"/>
  <c r="H42" i="13"/>
  <c r="H41" i="13"/>
  <c r="H39" i="13"/>
  <c r="H38" i="13"/>
  <c r="H37" i="13"/>
  <c r="H36" i="13"/>
  <c r="H34" i="13"/>
  <c r="H33" i="13"/>
  <c r="H32" i="13"/>
  <c r="H31" i="13"/>
  <c r="H29" i="13"/>
  <c r="H28" i="13"/>
  <c r="H27" i="13"/>
  <c r="H26" i="13"/>
  <c r="H24" i="13"/>
  <c r="H23" i="13"/>
  <c r="H22" i="13"/>
  <c r="H21" i="13"/>
  <c r="H19" i="13"/>
  <c r="H18" i="13"/>
  <c r="H17" i="13"/>
  <c r="H16" i="13"/>
  <c r="H14" i="13"/>
  <c r="H13" i="13"/>
  <c r="H12" i="13"/>
  <c r="H11" i="13"/>
  <c r="H9" i="13"/>
  <c r="H8" i="13"/>
  <c r="K3" i="14"/>
  <c r="J3" i="14" s="1"/>
  <c r="K3" i="13"/>
  <c r="J3" i="13" s="1"/>
  <c r="D40" i="14" l="1"/>
  <c r="D30" i="14"/>
  <c r="D35" i="14"/>
  <c r="D50" i="14"/>
  <c r="D45" i="14"/>
  <c r="D10" i="13"/>
  <c r="D30" i="13"/>
  <c r="D35" i="13"/>
  <c r="D40" i="13"/>
  <c r="D45" i="13"/>
  <c r="D50" i="13"/>
  <c r="AF33" i="15"/>
  <c r="AE33" i="15"/>
  <c r="AH33" i="15"/>
  <c r="Y33" i="15"/>
  <c r="Z33" i="15" s="1"/>
  <c r="AG33" i="15"/>
  <c r="AF18" i="15"/>
  <c r="AH18" i="15"/>
  <c r="AG18" i="15"/>
  <c r="AE18" i="15"/>
  <c r="Y18" i="15"/>
  <c r="Z18" i="15" s="1"/>
  <c r="AE38" i="15"/>
  <c r="AH38" i="15"/>
  <c r="Y38" i="15"/>
  <c r="Z38" i="15" s="1"/>
  <c r="AF38" i="15"/>
  <c r="AG38" i="15"/>
  <c r="AE23" i="15"/>
  <c r="Y23" i="15"/>
  <c r="Z23" i="15" s="1"/>
  <c r="AF23" i="15"/>
  <c r="AG23" i="15"/>
  <c r="AH23" i="15"/>
  <c r="AF43" i="15"/>
  <c r="Y43" i="15"/>
  <c r="Z43" i="15" s="1"/>
  <c r="AH43" i="15"/>
  <c r="AE43" i="15"/>
  <c r="AG43" i="15"/>
  <c r="AF28" i="15"/>
  <c r="AH28" i="15"/>
  <c r="AE28" i="15"/>
  <c r="Y28" i="15"/>
  <c r="Z28" i="15" s="1"/>
  <c r="AG28" i="15"/>
  <c r="AE48" i="15"/>
  <c r="Y48" i="15"/>
  <c r="Z48" i="15" s="1"/>
  <c r="AG48" i="15"/>
  <c r="AF48" i="15"/>
  <c r="AH48" i="15"/>
  <c r="AE12" i="15"/>
  <c r="AH12" i="15"/>
  <c r="AG12" i="15"/>
  <c r="Y12" i="15"/>
  <c r="Z12" i="15" s="1"/>
  <c r="AF12" i="15"/>
  <c r="AC15" i="15"/>
  <c r="AD12" i="15"/>
  <c r="D20" i="13"/>
  <c r="D25" i="13"/>
  <c r="D20" i="14"/>
  <c r="F20" i="14" s="1"/>
  <c r="W20" i="14" s="1"/>
  <c r="AD20" i="14" s="1"/>
  <c r="D25" i="14"/>
  <c r="F20" i="13"/>
  <c r="W20" i="13" s="1"/>
  <c r="AD20" i="13" s="1"/>
  <c r="D15" i="13"/>
  <c r="F15" i="13" s="1"/>
  <c r="W15" i="13" s="1"/>
  <c r="AD15" i="13" s="1"/>
  <c r="D15" i="14"/>
  <c r="F15" i="14" s="1"/>
  <c r="W15" i="14" s="1"/>
  <c r="D10" i="14"/>
  <c r="AA52" i="14"/>
  <c r="AA49" i="14"/>
  <c r="AA48" i="14"/>
  <c r="AA47" i="14"/>
  <c r="AA46" i="14"/>
  <c r="AA44" i="14"/>
  <c r="AA43" i="14"/>
  <c r="AA42" i="14"/>
  <c r="AA41" i="14"/>
  <c r="AA39" i="14"/>
  <c r="AA38" i="14"/>
  <c r="AA37" i="14"/>
  <c r="AA36" i="14"/>
  <c r="AA34" i="14"/>
  <c r="AA33" i="14"/>
  <c r="AA32" i="14"/>
  <c r="AA31" i="14"/>
  <c r="AA29" i="14"/>
  <c r="AA28" i="14"/>
  <c r="AA27" i="14"/>
  <c r="AA26" i="14"/>
  <c r="AA24" i="14"/>
  <c r="AA23" i="14"/>
  <c r="AA22" i="14"/>
  <c r="AA21" i="14"/>
  <c r="AA19" i="14"/>
  <c r="AA18" i="14"/>
  <c r="AA17" i="14"/>
  <c r="AA16" i="14"/>
  <c r="AA14" i="14"/>
  <c r="AA13" i="14"/>
  <c r="AA12" i="14"/>
  <c r="AA11" i="14"/>
  <c r="AA9" i="14"/>
  <c r="AA8" i="14"/>
  <c r="AH7" i="14"/>
  <c r="B7" i="14"/>
  <c r="L1" i="14"/>
  <c r="AA52" i="13"/>
  <c r="AA51" i="13"/>
  <c r="AA48" i="13"/>
  <c r="AA47" i="13"/>
  <c r="AA46" i="13"/>
  <c r="AA44" i="13"/>
  <c r="AA43" i="13"/>
  <c r="AA42" i="13"/>
  <c r="AA41" i="13"/>
  <c r="AA39" i="13"/>
  <c r="AA38" i="13"/>
  <c r="AA37" i="13"/>
  <c r="AA36" i="13"/>
  <c r="AA34" i="13"/>
  <c r="AA33" i="13"/>
  <c r="AA32" i="13"/>
  <c r="AA31" i="13"/>
  <c r="AA29" i="13"/>
  <c r="AA28" i="13"/>
  <c r="AA27" i="13"/>
  <c r="AA26" i="13"/>
  <c r="AA24" i="13"/>
  <c r="AA23" i="13"/>
  <c r="AA22" i="13"/>
  <c r="AA21" i="13"/>
  <c r="AA19" i="13"/>
  <c r="AA18" i="13"/>
  <c r="AA17" i="13"/>
  <c r="AA16" i="13"/>
  <c r="AA14" i="13"/>
  <c r="AA13" i="13"/>
  <c r="AA12" i="13"/>
  <c r="AA11" i="13"/>
  <c r="AA9" i="13"/>
  <c r="AA8" i="13"/>
  <c r="AH7" i="13"/>
  <c r="B7" i="13"/>
  <c r="F50" i="14" l="1"/>
  <c r="W50" i="14" s="1"/>
  <c r="AD50" i="14"/>
  <c r="F35" i="14"/>
  <c r="W35" i="14" s="1"/>
  <c r="F30" i="14"/>
  <c r="W30" i="14" s="1"/>
  <c r="AD30" i="14"/>
  <c r="F45" i="14"/>
  <c r="W45" i="14" s="1"/>
  <c r="F40" i="14"/>
  <c r="W40" i="14" s="1"/>
  <c r="AD40" i="14"/>
  <c r="F40" i="13"/>
  <c r="W40" i="13" s="1"/>
  <c r="AD40" i="13"/>
  <c r="F35" i="13"/>
  <c r="W35" i="13" s="1"/>
  <c r="AD35" i="13"/>
  <c r="F50" i="13"/>
  <c r="W50" i="13" s="1"/>
  <c r="AD50" i="13"/>
  <c r="F30" i="13"/>
  <c r="W30" i="13" s="1"/>
  <c r="AD30" i="13"/>
  <c r="F45" i="13"/>
  <c r="W45" i="13" s="1"/>
  <c r="AD45" i="13"/>
  <c r="F10" i="13"/>
  <c r="AD10" i="13"/>
  <c r="AC10" i="13" s="1"/>
  <c r="AC33" i="15"/>
  <c r="AC48" i="15"/>
  <c r="AC28" i="15"/>
  <c r="AC43" i="15"/>
  <c r="AC23" i="15"/>
  <c r="AC38" i="15"/>
  <c r="AC18" i="15"/>
  <c r="AC12" i="15"/>
  <c r="F25" i="14"/>
  <c r="W25" i="14" s="1"/>
  <c r="AD25" i="14" s="1"/>
  <c r="F25" i="13"/>
  <c r="W25" i="13" s="1"/>
  <c r="AD25" i="13" s="1"/>
  <c r="AE20" i="14"/>
  <c r="Y20" i="14"/>
  <c r="Z20" i="14" s="1"/>
  <c r="AH20" i="14"/>
  <c r="AF20" i="14"/>
  <c r="AG20" i="14"/>
  <c r="Y20" i="13"/>
  <c r="Z20" i="13" s="1"/>
  <c r="AH20" i="13"/>
  <c r="AF20" i="13"/>
  <c r="AE20" i="13"/>
  <c r="AG20" i="13"/>
  <c r="AD10" i="14"/>
  <c r="AC10" i="14" s="1"/>
  <c r="F10" i="14"/>
  <c r="AE15" i="14"/>
  <c r="Y15" i="14"/>
  <c r="Z15" i="14" s="1"/>
  <c r="AG15" i="14"/>
  <c r="AF15" i="14"/>
  <c r="AH15" i="14"/>
  <c r="AD15" i="14"/>
  <c r="AE15" i="13"/>
  <c r="Y15" i="13"/>
  <c r="Z15" i="13" s="1"/>
  <c r="AG15" i="13"/>
  <c r="AF15" i="13"/>
  <c r="AH15" i="13"/>
  <c r="D49" i="13"/>
  <c r="F49" i="13" s="1"/>
  <c r="D51" i="14"/>
  <c r="F51" i="14" s="1"/>
  <c r="D18" i="14"/>
  <c r="F18" i="14" s="1"/>
  <c r="D22" i="14"/>
  <c r="F22" i="14" s="1"/>
  <c r="D8" i="14"/>
  <c r="F8" i="14" s="1"/>
  <c r="D13" i="14"/>
  <c r="F13" i="14" s="1"/>
  <c r="D49" i="14"/>
  <c r="F49" i="14" s="1"/>
  <c r="D44" i="14"/>
  <c r="F44" i="14" s="1"/>
  <c r="D39" i="14"/>
  <c r="F39" i="14" s="1"/>
  <c r="D34" i="14"/>
  <c r="F34" i="14" s="1"/>
  <c r="D29" i="14"/>
  <c r="F29" i="14" s="1"/>
  <c r="D24" i="14"/>
  <c r="F24" i="14" s="1"/>
  <c r="D52" i="14"/>
  <c r="F52" i="14" s="1"/>
  <c r="D46" i="14"/>
  <c r="F46" i="14" s="1"/>
  <c r="D41" i="14"/>
  <c r="F41" i="14" s="1"/>
  <c r="D36" i="14"/>
  <c r="F36" i="14" s="1"/>
  <c r="D31" i="14"/>
  <c r="F31" i="14" s="1"/>
  <c r="D26" i="14"/>
  <c r="F26" i="14" s="1"/>
  <c r="D23" i="14"/>
  <c r="F23" i="14" s="1"/>
  <c r="D27" i="14"/>
  <c r="F27" i="14" s="1"/>
  <c r="D28" i="14"/>
  <c r="F28" i="14" s="1"/>
  <c r="D32" i="14"/>
  <c r="F32" i="14" s="1"/>
  <c r="D33" i="14"/>
  <c r="F33" i="14" s="1"/>
  <c r="D37" i="14"/>
  <c r="F37" i="14" s="1"/>
  <c r="D38" i="14"/>
  <c r="F38" i="14" s="1"/>
  <c r="D42" i="14"/>
  <c r="F42" i="14" s="1"/>
  <c r="D43" i="14"/>
  <c r="F43" i="14" s="1"/>
  <c r="D47" i="14"/>
  <c r="F47" i="14" s="1"/>
  <c r="D48" i="14"/>
  <c r="F48" i="14" s="1"/>
  <c r="D12" i="14"/>
  <c r="F12" i="14" s="1"/>
  <c r="D17" i="14"/>
  <c r="F17" i="14" s="1"/>
  <c r="D11" i="14"/>
  <c r="F11" i="14" s="1"/>
  <c r="D16" i="14"/>
  <c r="F16" i="14" s="1"/>
  <c r="D21" i="14"/>
  <c r="F21" i="14" s="1"/>
  <c r="D9" i="14"/>
  <c r="F9" i="14" s="1"/>
  <c r="D14" i="14"/>
  <c r="F14" i="14" s="1"/>
  <c r="D19" i="14"/>
  <c r="F19" i="14" s="1"/>
  <c r="Y45" i="14" l="1"/>
  <c r="Z45" i="14" s="1"/>
  <c r="AG45" i="14"/>
  <c r="AH45" i="14"/>
  <c r="AF45" i="14"/>
  <c r="AE45" i="14"/>
  <c r="AG35" i="14"/>
  <c r="AH35" i="14"/>
  <c r="AF35" i="14"/>
  <c r="Y35" i="14"/>
  <c r="Z35" i="14" s="1"/>
  <c r="AE35" i="14"/>
  <c r="AH40" i="14"/>
  <c r="Y40" i="14"/>
  <c r="Z40" i="14" s="1"/>
  <c r="AG40" i="14"/>
  <c r="AE40" i="14"/>
  <c r="AC40" i="14" s="1"/>
  <c r="AF40" i="14"/>
  <c r="AG30" i="14"/>
  <c r="AE30" i="14"/>
  <c r="AC30" i="14" s="1"/>
  <c r="Y30" i="14"/>
  <c r="Z30" i="14" s="1"/>
  <c r="AF30" i="14"/>
  <c r="AH30" i="14"/>
  <c r="AF50" i="14"/>
  <c r="AG50" i="14"/>
  <c r="AE50" i="14"/>
  <c r="AC50" i="14" s="1"/>
  <c r="Y50" i="14"/>
  <c r="Z50" i="14" s="1"/>
  <c r="AH50" i="14"/>
  <c r="AD45" i="14"/>
  <c r="AD35" i="14"/>
  <c r="AC35" i="14" s="1"/>
  <c r="Y30" i="13"/>
  <c r="Z30" i="13" s="1"/>
  <c r="AG30" i="13"/>
  <c r="AH30" i="13"/>
  <c r="AE30" i="13"/>
  <c r="AC30" i="13" s="1"/>
  <c r="AF30" i="13"/>
  <c r="AH35" i="13"/>
  <c r="AE35" i="13"/>
  <c r="AF35" i="13"/>
  <c r="AC35" i="13" s="1"/>
  <c r="Y35" i="13"/>
  <c r="Z35" i="13" s="1"/>
  <c r="AG35" i="13"/>
  <c r="AF45" i="13"/>
  <c r="AH45" i="13"/>
  <c r="AG45" i="13"/>
  <c r="AE45" i="13"/>
  <c r="AC45" i="13" s="1"/>
  <c r="Y45" i="13"/>
  <c r="Z45" i="13" s="1"/>
  <c r="AG50" i="13"/>
  <c r="Y50" i="13"/>
  <c r="Z50" i="13" s="1"/>
  <c r="AF50" i="13"/>
  <c r="AE50" i="13"/>
  <c r="AC50" i="13" s="1"/>
  <c r="AH50" i="13"/>
  <c r="AE40" i="13"/>
  <c r="AF40" i="13"/>
  <c r="AC40" i="13" s="1"/>
  <c r="Y40" i="13"/>
  <c r="Z40" i="13" s="1"/>
  <c r="AG40" i="13"/>
  <c r="AH40" i="13"/>
  <c r="AE25" i="13"/>
  <c r="AH25" i="13"/>
  <c r="AG25" i="13"/>
  <c r="AF25" i="13"/>
  <c r="Y25" i="13"/>
  <c r="Z25" i="13" s="1"/>
  <c r="AC20" i="13"/>
  <c r="AC20" i="14"/>
  <c r="AE25" i="14"/>
  <c r="AF25" i="14"/>
  <c r="Y25" i="14"/>
  <c r="Z25" i="14" s="1"/>
  <c r="AH25" i="14"/>
  <c r="AG25" i="14"/>
  <c r="AC15" i="13"/>
  <c r="AC15" i="14"/>
  <c r="D39" i="13"/>
  <c r="F39" i="13" s="1"/>
  <c r="D11" i="13"/>
  <c r="F11" i="13" s="1"/>
  <c r="D13" i="13"/>
  <c r="F13" i="13" s="1"/>
  <c r="W13" i="13" s="1"/>
  <c r="D23" i="13"/>
  <c r="F23" i="13" s="1"/>
  <c r="D33" i="13"/>
  <c r="F33" i="13" s="1"/>
  <c r="D28" i="13"/>
  <c r="F28" i="13" s="1"/>
  <c r="D41" i="13"/>
  <c r="F41" i="13" s="1"/>
  <c r="D18" i="13"/>
  <c r="F18" i="13" s="1"/>
  <c r="D44" i="13"/>
  <c r="F44" i="13" s="1"/>
  <c r="D42" i="13"/>
  <c r="F42" i="13" s="1"/>
  <c r="D26" i="13"/>
  <c r="F26" i="13" s="1"/>
  <c r="D12" i="13"/>
  <c r="F12" i="13" s="1"/>
  <c r="D46" i="13"/>
  <c r="F46" i="13" s="1"/>
  <c r="D16" i="13"/>
  <c r="F16" i="13" s="1"/>
  <c r="D22" i="13"/>
  <c r="F22" i="13" s="1"/>
  <c r="D43" i="13"/>
  <c r="F43" i="13" s="1"/>
  <c r="D19" i="13"/>
  <c r="F19" i="13" s="1"/>
  <c r="D36" i="13"/>
  <c r="F36" i="13" s="1"/>
  <c r="D17" i="13"/>
  <c r="F17" i="13" s="1"/>
  <c r="D9" i="13"/>
  <c r="F9" i="13" s="1"/>
  <c r="D51" i="13"/>
  <c r="F51" i="13" s="1"/>
  <c r="D37" i="13"/>
  <c r="F37" i="13" s="1"/>
  <c r="D31" i="13"/>
  <c r="F31" i="13" s="1"/>
  <c r="D48" i="13"/>
  <c r="F48" i="13" s="1"/>
  <c r="D52" i="13"/>
  <c r="F52" i="13" s="1"/>
  <c r="D32" i="13"/>
  <c r="F32" i="13" s="1"/>
  <c r="D8" i="13"/>
  <c r="F8" i="13" s="1"/>
  <c r="D34" i="13"/>
  <c r="F34" i="13" s="1"/>
  <c r="D14" i="13"/>
  <c r="F14" i="13" s="1"/>
  <c r="D29" i="13"/>
  <c r="F29" i="13" s="1"/>
  <c r="D24" i="13"/>
  <c r="F24" i="13" s="1"/>
  <c r="D21" i="13"/>
  <c r="F21" i="13" s="1"/>
  <c r="D38" i="13"/>
  <c r="F38" i="13" s="1"/>
  <c r="D27" i="13"/>
  <c r="F27" i="13" s="1"/>
  <c r="D47" i="13"/>
  <c r="F47" i="13" s="1"/>
  <c r="AC45" i="14" l="1"/>
  <c r="AC25" i="14"/>
  <c r="AC25" i="13"/>
  <c r="L48" i="14"/>
  <c r="L46" i="14"/>
  <c r="L43" i="14"/>
  <c r="L41" i="14"/>
  <c r="L38" i="14"/>
  <c r="L36" i="14"/>
  <c r="L33" i="14"/>
  <c r="L31" i="14"/>
  <c r="L28" i="14"/>
  <c r="L26" i="14"/>
  <c r="L23" i="14"/>
  <c r="L21" i="14"/>
  <c r="L18" i="14"/>
  <c r="L16" i="14"/>
  <c r="L13" i="14"/>
  <c r="L11" i="14"/>
  <c r="L44" i="14"/>
  <c r="L39" i="14"/>
  <c r="L37" i="14"/>
  <c r="L34" i="14"/>
  <c r="L29" i="14"/>
  <c r="L24" i="14"/>
  <c r="L19" i="14"/>
  <c r="L14" i="14"/>
  <c r="L12" i="14"/>
  <c r="L42" i="14"/>
  <c r="L32" i="14"/>
  <c r="L27" i="14"/>
  <c r="L22" i="14"/>
  <c r="L17" i="14"/>
  <c r="L9" i="14"/>
  <c r="L52" i="14" l="1"/>
  <c r="L47" i="14"/>
  <c r="L51" i="14"/>
  <c r="L49" i="14"/>
  <c r="L18" i="13"/>
  <c r="L12" i="13"/>
  <c r="L42" i="13"/>
  <c r="L11" i="13"/>
  <c r="L23" i="13"/>
  <c r="L33" i="13"/>
  <c r="L43" i="13"/>
  <c r="L14" i="13"/>
  <c r="L29" i="13"/>
  <c r="L44" i="13"/>
  <c r="L17" i="13"/>
  <c r="L47" i="13"/>
  <c r="L13" i="13"/>
  <c r="L26" i="13"/>
  <c r="L36" i="13"/>
  <c r="L46" i="13"/>
  <c r="L19" i="13"/>
  <c r="L34" i="13"/>
  <c r="L8" i="14"/>
  <c r="L27" i="13"/>
  <c r="L16" i="13"/>
  <c r="L28" i="13"/>
  <c r="L38" i="13"/>
  <c r="L48" i="13"/>
  <c r="L22" i="13"/>
  <c r="L37" i="13"/>
  <c r="L32" i="13"/>
  <c r="L8" i="13"/>
  <c r="L21" i="13"/>
  <c r="L31" i="13"/>
  <c r="L41" i="13"/>
  <c r="L52" i="13"/>
  <c r="L9" i="13"/>
  <c r="L24" i="13"/>
  <c r="L39" i="13"/>
  <c r="L49" i="13"/>
  <c r="V43" i="14" l="1"/>
  <c r="W43" i="14" s="1"/>
  <c r="V11" i="14"/>
  <c r="W11" i="14" s="1"/>
  <c r="V17" i="14"/>
  <c r="W17" i="14" s="1"/>
  <c r="V12" i="14"/>
  <c r="W12" i="14" s="1"/>
  <c r="V49" i="14"/>
  <c r="W49" i="14" s="1"/>
  <c r="V22" i="14"/>
  <c r="V47" i="14"/>
  <c r="W47" i="14" s="1"/>
  <c r="V27" i="14"/>
  <c r="W27" i="14" s="1"/>
  <c r="V13" i="14"/>
  <c r="V52" i="14"/>
  <c r="V31" i="14"/>
  <c r="W31" i="14" s="1"/>
  <c r="V42" i="14"/>
  <c r="W42" i="14" s="1"/>
  <c r="V19" i="14"/>
  <c r="W19" i="14" s="1"/>
  <c r="V14" i="14"/>
  <c r="W14" i="14" s="1"/>
  <c r="V23" i="14"/>
  <c r="W23" i="14" s="1"/>
  <c r="V26" i="14"/>
  <c r="W26" i="14" s="1"/>
  <c r="V24" i="14"/>
  <c r="W24" i="14" s="1"/>
  <c r="V46" i="14"/>
  <c r="W46" i="14" s="1"/>
  <c r="V18" i="14"/>
  <c r="W18" i="14" s="1"/>
  <c r="V39" i="14"/>
  <c r="W39" i="14" s="1"/>
  <c r="V9" i="14"/>
  <c r="W9" i="14" s="1"/>
  <c r="V51" i="14"/>
  <c r="W51" i="14" s="1"/>
  <c r="V34" i="14"/>
  <c r="W34" i="14" s="1"/>
  <c r="V28" i="14"/>
  <c r="W28" i="14" s="1"/>
  <c r="V8" i="14"/>
  <c r="W8" i="14" s="1"/>
  <c r="V33" i="14"/>
  <c r="W33" i="14" s="1"/>
  <c r="V37" i="14"/>
  <c r="W37" i="14" s="1"/>
  <c r="V44" i="14"/>
  <c r="W44" i="14" s="1"/>
  <c r="V38" i="14"/>
  <c r="W38" i="14" s="1"/>
  <c r="V36" i="14"/>
  <c r="W36" i="14" s="1"/>
  <c r="V41" i="14"/>
  <c r="W41" i="14" s="1"/>
  <c r="V29" i="14"/>
  <c r="W29" i="14" s="1"/>
  <c r="V48" i="14"/>
  <c r="V16" i="14"/>
  <c r="W16" i="14" s="1"/>
  <c r="V32" i="14"/>
  <c r="W32" i="14" s="1"/>
  <c r="V21" i="14"/>
  <c r="W21" i="14" s="1"/>
  <c r="AH47" i="14" l="1"/>
  <c r="W52" i="14"/>
  <c r="Y47" i="14"/>
  <c r="Z47" i="14" s="1"/>
  <c r="AD47" i="14"/>
  <c r="AG47" i="14"/>
  <c r="AF47" i="14"/>
  <c r="AE47" i="14"/>
  <c r="W48" i="14"/>
  <c r="AH48" i="14" s="1"/>
  <c r="W13" i="14"/>
  <c r="AG13" i="14" s="1"/>
  <c r="W22" i="14"/>
  <c r="AD22" i="14" s="1"/>
  <c r="AF14" i="14"/>
  <c r="AH43" i="14"/>
  <c r="Y19" i="14"/>
  <c r="Z19" i="14" s="1"/>
  <c r="AG41" i="14"/>
  <c r="Y34" i="14"/>
  <c r="Z34" i="14" s="1"/>
  <c r="AD23" i="14"/>
  <c r="AH9" i="14"/>
  <c r="Y49" i="14"/>
  <c r="Z49" i="14" s="1"/>
  <c r="AE49" i="14"/>
  <c r="AD49" i="14"/>
  <c r="AG49" i="14"/>
  <c r="AF49" i="14"/>
  <c r="AH49" i="14"/>
  <c r="AE8" i="14"/>
  <c r="Y8" i="14"/>
  <c r="Z8" i="14" s="1"/>
  <c r="AD26" i="14"/>
  <c r="AG26" i="14"/>
  <c r="AE26" i="14"/>
  <c r="AF26" i="14"/>
  <c r="Y26" i="14"/>
  <c r="Z26" i="14" s="1"/>
  <c r="AD17" i="14"/>
  <c r="AE17" i="14"/>
  <c r="AG17" i="14"/>
  <c r="Y17" i="14"/>
  <c r="Z17" i="14" s="1"/>
  <c r="AF17" i="14"/>
  <c r="AG38" i="14"/>
  <c r="AE38" i="14"/>
  <c r="AD38" i="14"/>
  <c r="AD37" i="14"/>
  <c r="AE37" i="14"/>
  <c r="Y37" i="14"/>
  <c r="Z37" i="14" s="1"/>
  <c r="AG37" i="14"/>
  <c r="AE9" i="14"/>
  <c r="AF9" i="14"/>
  <c r="AD9" i="14"/>
  <c r="AG9" i="14"/>
  <c r="AH27" i="14"/>
  <c r="Y38" i="14"/>
  <c r="Z38" i="14" s="1"/>
  <c r="AH18" i="14"/>
  <c r="AG39" i="14"/>
  <c r="AD39" i="14"/>
  <c r="Y39" i="14"/>
  <c r="Z39" i="14" s="1"/>
  <c r="AE39" i="14"/>
  <c r="AF44" i="14"/>
  <c r="Y44" i="14"/>
  <c r="Z44" i="14" s="1"/>
  <c r="AG44" i="14"/>
  <c r="AD44" i="14"/>
  <c r="AH28" i="14"/>
  <c r="AH17" i="14"/>
  <c r="AF27" i="14"/>
  <c r="AG27" i="14"/>
  <c r="AE27" i="14"/>
  <c r="AD27" i="14"/>
  <c r="Y27" i="14"/>
  <c r="Z27" i="14" s="1"/>
  <c r="AF37" i="14"/>
  <c r="AF39" i="14"/>
  <c r="AG8" i="14"/>
  <c r="AD8" i="14"/>
  <c r="AF8" i="14"/>
  <c r="AH8" i="14"/>
  <c r="Y9" i="14"/>
  <c r="Z9" i="14" s="1"/>
  <c r="AE44" i="14"/>
  <c r="AH37" i="14"/>
  <c r="AH31" i="14"/>
  <c r="AH32" i="14"/>
  <c r="AH29" i="14"/>
  <c r="AH38" i="14"/>
  <c r="AF34" i="14"/>
  <c r="AH26" i="14"/>
  <c r="AH46" i="14"/>
  <c r="AD24" i="14"/>
  <c r="AG24" i="14"/>
  <c r="Y24" i="14"/>
  <c r="Z24" i="14" s="1"/>
  <c r="AE24" i="14"/>
  <c r="AF24" i="14"/>
  <c r="AH24" i="14"/>
  <c r="AF38" i="14"/>
  <c r="AH16" i="14"/>
  <c r="AE13" i="14"/>
  <c r="AF13" i="14"/>
  <c r="Y14" i="14"/>
  <c r="Z14" i="14" s="1"/>
  <c r="Y21" i="14"/>
  <c r="Z21" i="14" s="1"/>
  <c r="AD21" i="14"/>
  <c r="AF21" i="14"/>
  <c r="AH21" i="14"/>
  <c r="AH44" i="14"/>
  <c r="AH39" i="14"/>
  <c r="AE21" i="14"/>
  <c r="AH14" i="14"/>
  <c r="AH36" i="14"/>
  <c r="AG21" i="14"/>
  <c r="AG14" i="14"/>
  <c r="AH13" i="14" l="1"/>
  <c r="AC47" i="14"/>
  <c r="AD48" i="14"/>
  <c r="AF48" i="14"/>
  <c r="Y48" i="14"/>
  <c r="Z48" i="14" s="1"/>
  <c r="AG48" i="14"/>
  <c r="AE48" i="14"/>
  <c r="AD13" i="14"/>
  <c r="AC13" i="14" s="1"/>
  <c r="Y52" i="14"/>
  <c r="Z52" i="14" s="1"/>
  <c r="AD52" i="14"/>
  <c r="AE52" i="14"/>
  <c r="AG52" i="14"/>
  <c r="AF52" i="14"/>
  <c r="AH52" i="14"/>
  <c r="Y13" i="14"/>
  <c r="Z13" i="14" s="1"/>
  <c r="AG22" i="14"/>
  <c r="AF22" i="14"/>
  <c r="AE22" i="14"/>
  <c r="Y22" i="14"/>
  <c r="Z22" i="14" s="1"/>
  <c r="AH22" i="14"/>
  <c r="AF43" i="14"/>
  <c r="AE43" i="14"/>
  <c r="AG34" i="14"/>
  <c r="AD34" i="14"/>
  <c r="AE23" i="14"/>
  <c r="AE14" i="14"/>
  <c r="AD14" i="14"/>
  <c r="AC14" i="14" s="1"/>
  <c r="AE19" i="14"/>
  <c r="AD19" i="14"/>
  <c r="AG23" i="14"/>
  <c r="AD41" i="14"/>
  <c r="AF19" i="14"/>
  <c r="AH19" i="14"/>
  <c r="Y23" i="14"/>
  <c r="Z23" i="14" s="1"/>
  <c r="AF23" i="14"/>
  <c r="Y43" i="14"/>
  <c r="Z43" i="14" s="1"/>
  <c r="Y41" i="14"/>
  <c r="Z41" i="14" s="1"/>
  <c r="AH41" i="14"/>
  <c r="AH23" i="14"/>
  <c r="AE41" i="14"/>
  <c r="AG43" i="14"/>
  <c r="AF41" i="14"/>
  <c r="AG19" i="14"/>
  <c r="AE34" i="14"/>
  <c r="AD43" i="14"/>
  <c r="AH34" i="14"/>
  <c r="Y51" i="14"/>
  <c r="Z51" i="14" s="1"/>
  <c r="AF51" i="14"/>
  <c r="AD51" i="14"/>
  <c r="AG51" i="14"/>
  <c r="AE51" i="14"/>
  <c r="AC49" i="14"/>
  <c r="AH51" i="14"/>
  <c r="Y12" i="14"/>
  <c r="Z12" i="14" s="1"/>
  <c r="AE12" i="14"/>
  <c r="AD12" i="14"/>
  <c r="AF12" i="14"/>
  <c r="AG12" i="14"/>
  <c r="AE31" i="14"/>
  <c r="Y31" i="14"/>
  <c r="Z31" i="14" s="1"/>
  <c r="AD31" i="14"/>
  <c r="AG31" i="14"/>
  <c r="AF31" i="14"/>
  <c r="AC37" i="14"/>
  <c r="AC17" i="14"/>
  <c r="AD42" i="14"/>
  <c r="AF42" i="14"/>
  <c r="AE42" i="14"/>
  <c r="Y42" i="14"/>
  <c r="Z42" i="14" s="1"/>
  <c r="AG42" i="14"/>
  <c r="Y33" i="14"/>
  <c r="Z33" i="14" s="1"/>
  <c r="AD33" i="14"/>
  <c r="AG33" i="14"/>
  <c r="AE33" i="14"/>
  <c r="AF33" i="14"/>
  <c r="AD11" i="14"/>
  <c r="AE11" i="14"/>
  <c r="AF11" i="14"/>
  <c r="Y11" i="14"/>
  <c r="Z11" i="14" s="1"/>
  <c r="AG11" i="14"/>
  <c r="AC8" i="14"/>
  <c r="Y28" i="14"/>
  <c r="Z28" i="14" s="1"/>
  <c r="AE28" i="14"/>
  <c r="AD28" i="14"/>
  <c r="AG28" i="14"/>
  <c r="AF28" i="14"/>
  <c r="AC39" i="14"/>
  <c r="AH11" i="14"/>
  <c r="AC9" i="14"/>
  <c r="AH12" i="14"/>
  <c r="AC21" i="14"/>
  <c r="AC24" i="14"/>
  <c r="AE29" i="14"/>
  <c r="Y29" i="14"/>
  <c r="Z29" i="14" s="1"/>
  <c r="AG29" i="14"/>
  <c r="AF29" i="14"/>
  <c r="AD29" i="14"/>
  <c r="AG36" i="14"/>
  <c r="AF36" i="14"/>
  <c r="AE36" i="14"/>
  <c r="Y36" i="14"/>
  <c r="Z36" i="14" s="1"/>
  <c r="AD36" i="14"/>
  <c r="AH42" i="14"/>
  <c r="AG16" i="14"/>
  <c r="AD16" i="14"/>
  <c r="AF16" i="14"/>
  <c r="Y16" i="14"/>
  <c r="Z16" i="14" s="1"/>
  <c r="AE16" i="14"/>
  <c r="AD46" i="14"/>
  <c r="AF46" i="14"/>
  <c r="AG46" i="14"/>
  <c r="Y46" i="14"/>
  <c r="Z46" i="14" s="1"/>
  <c r="AE46" i="14"/>
  <c r="AH33" i="14"/>
  <c r="AD32" i="14"/>
  <c r="AG32" i="14"/>
  <c r="AE32" i="14"/>
  <c r="Y32" i="14"/>
  <c r="Z32" i="14" s="1"/>
  <c r="AF32" i="14"/>
  <c r="AC27" i="14"/>
  <c r="AC44" i="14"/>
  <c r="Y18" i="14"/>
  <c r="Z18" i="14" s="1"/>
  <c r="AF18" i="14"/>
  <c r="AE18" i="14"/>
  <c r="AD18" i="14"/>
  <c r="AG18" i="14"/>
  <c r="AC38" i="14"/>
  <c r="AC26" i="14"/>
  <c r="AC48" i="14" l="1"/>
  <c r="AC52" i="14"/>
  <c r="AC22" i="14"/>
  <c r="AC43" i="14"/>
  <c r="AC19" i="14"/>
  <c r="AC23" i="14"/>
  <c r="AC34" i="14"/>
  <c r="AC41" i="14"/>
  <c r="AC51" i="14"/>
  <c r="AC32" i="14"/>
  <c r="AC28" i="14"/>
  <c r="AC31" i="14"/>
  <c r="AC42" i="14"/>
  <c r="AC12" i="14"/>
  <c r="AC18" i="14"/>
  <c r="AC36" i="14"/>
  <c r="AC46" i="14"/>
  <c r="AC16" i="14"/>
  <c r="AC29" i="14"/>
  <c r="AC11" i="14"/>
  <c r="AC33" i="14"/>
  <c r="Y8" i="13" l="1"/>
  <c r="Z8" i="13" s="1"/>
  <c r="AD8" i="13" l="1"/>
  <c r="AC8" i="13" s="1"/>
  <c r="AD13" i="13"/>
  <c r="AF8" i="13"/>
  <c r="AE13" i="13"/>
  <c r="Y13" i="13"/>
  <c r="Z13" i="13" s="1"/>
  <c r="AG13" i="13" l="1"/>
  <c r="AG8" i="13"/>
  <c r="AF13" i="13"/>
  <c r="AE8" i="13"/>
  <c r="V43" i="13"/>
  <c r="V18" i="13"/>
  <c r="V8" i="13"/>
  <c r="AH8" i="13" s="1"/>
  <c r="V41" i="13"/>
  <c r="W41" i="13" s="1"/>
  <c r="V48" i="13"/>
  <c r="V34" i="13"/>
  <c r="W34" i="13" s="1"/>
  <c r="V32" i="13"/>
  <c r="W32" i="13" s="1"/>
  <c r="V12" i="13"/>
  <c r="W12" i="13" s="1"/>
  <c r="V14" i="13"/>
  <c r="W14" i="13" s="1"/>
  <c r="V37" i="13"/>
  <c r="W37" i="13" s="1"/>
  <c r="V38" i="13"/>
  <c r="V13" i="13"/>
  <c r="AH13" i="13" s="1"/>
  <c r="V47" i="13"/>
  <c r="V42" i="13"/>
  <c r="W42" i="13" s="1"/>
  <c r="V9" i="13"/>
  <c r="W9" i="13" s="1"/>
  <c r="V52" i="13"/>
  <c r="V36" i="13"/>
  <c r="W36" i="13" s="1"/>
  <c r="V44" i="13"/>
  <c r="W44" i="13" s="1"/>
  <c r="V16" i="13"/>
  <c r="W16" i="13" s="1"/>
  <c r="V19" i="13"/>
  <c r="W19" i="13" s="1"/>
  <c r="V42" i="15"/>
  <c r="V24" i="13"/>
  <c r="W24" i="13" s="1"/>
  <c r="V31" i="13"/>
  <c r="W31" i="13" s="1"/>
  <c r="V46" i="13"/>
  <c r="W46" i="13" s="1"/>
  <c r="V33" i="13"/>
  <c r="W33" i="13" s="1"/>
  <c r="Y33" i="13" s="1"/>
  <c r="Z33" i="13" s="1"/>
  <c r="V17" i="13"/>
  <c r="W17" i="13" s="1"/>
  <c r="V51" i="13"/>
  <c r="V23" i="13"/>
  <c r="V39" i="13"/>
  <c r="W39" i="13" s="1"/>
  <c r="V21" i="13"/>
  <c r="W21" i="13" s="1"/>
  <c r="V22" i="13"/>
  <c r="W22" i="13" s="1"/>
  <c r="V11" i="13"/>
  <c r="W11" i="13" s="1"/>
  <c r="V28" i="13"/>
  <c r="V45" i="15"/>
  <c r="V11" i="15"/>
  <c r="V39" i="15"/>
  <c r="V8" i="15"/>
  <c r="W8" i="15" s="1"/>
  <c r="V29" i="13"/>
  <c r="W29" i="13" s="1"/>
  <c r="V27" i="13"/>
  <c r="W27" i="13" s="1"/>
  <c r="V49" i="13"/>
  <c r="V26" i="13"/>
  <c r="W26" i="13" s="1"/>
  <c r="V14" i="15"/>
  <c r="W14" i="15" s="1"/>
  <c r="V31" i="15"/>
  <c r="W31" i="15" s="1"/>
  <c r="V40" i="15"/>
  <c r="W40" i="15" s="1"/>
  <c r="V35" i="15"/>
  <c r="W35" i="15" s="1"/>
  <c r="V30" i="15"/>
  <c r="W30" i="15" s="1"/>
  <c r="V19" i="15"/>
  <c r="V47" i="15"/>
  <c r="W47" i="15" s="1"/>
  <c r="V9" i="15"/>
  <c r="W9" i="15" s="1"/>
  <c r="V36" i="15"/>
  <c r="W36" i="15" s="1"/>
  <c r="V24" i="15"/>
  <c r="W24" i="15" s="1"/>
  <c r="V22" i="15"/>
  <c r="W22" i="15" s="1"/>
  <c r="V49" i="15"/>
  <c r="W49" i="15" s="1"/>
  <c r="V37" i="15"/>
  <c r="W37" i="15" s="1"/>
  <c r="V41" i="15"/>
  <c r="W41" i="15" s="1"/>
  <c r="V26" i="15"/>
  <c r="W26" i="15" s="1"/>
  <c r="V44" i="15"/>
  <c r="W44" i="15" s="1"/>
  <c r="V46" i="15"/>
  <c r="W46" i="15" s="1"/>
  <c r="V16" i="15"/>
  <c r="W16" i="15" s="1"/>
  <c r="V13" i="15"/>
  <c r="V25" i="15"/>
  <c r="W25" i="15" s="1"/>
  <c r="V21" i="15"/>
  <c r="V27" i="15"/>
  <c r="W27" i="15" s="1"/>
  <c r="V34" i="15"/>
  <c r="V17" i="15"/>
  <c r="W17" i="15" s="1"/>
  <c r="V10" i="15"/>
  <c r="V29" i="15"/>
  <c r="W29" i="15" s="1"/>
  <c r="V32" i="15"/>
  <c r="W32" i="15" s="1"/>
  <c r="V20" i="15"/>
  <c r="W20" i="15" s="1"/>
  <c r="AH33" i="13" l="1"/>
  <c r="AE33" i="13"/>
  <c r="AF33" i="13"/>
  <c r="W38" i="13"/>
  <c r="W28" i="13"/>
  <c r="W18" i="13"/>
  <c r="W49" i="13"/>
  <c r="AH49" i="13" s="1"/>
  <c r="W23" i="13"/>
  <c r="W47" i="13"/>
  <c r="W48" i="13"/>
  <c r="W43" i="13"/>
  <c r="AG33" i="13"/>
  <c r="W51" i="13"/>
  <c r="W52" i="13"/>
  <c r="AH52" i="13" s="1"/>
  <c r="AD33" i="13"/>
  <c r="AC13" i="13"/>
  <c r="W34" i="15"/>
  <c r="AH34" i="15" s="1"/>
  <c r="W13" i="15"/>
  <c r="Y13" i="15" s="1"/>
  <c r="Z13" i="15" s="1"/>
  <c r="W39" i="15"/>
  <c r="Y39" i="15" s="1"/>
  <c r="Z39" i="15" s="1"/>
  <c r="W42" i="15"/>
  <c r="AD42" i="15" s="1"/>
  <c r="W19" i="15"/>
  <c r="AF19" i="15" s="1"/>
  <c r="W11" i="15"/>
  <c r="AE11" i="15" s="1"/>
  <c r="W10" i="15"/>
  <c r="AE10" i="15" s="1"/>
  <c r="W21" i="15"/>
  <c r="AF21" i="15" s="1"/>
  <c r="W45" i="15"/>
  <c r="Y45" i="15" s="1"/>
  <c r="Z45" i="15" s="1"/>
  <c r="AH49" i="15"/>
  <c r="Y41" i="15"/>
  <c r="Z41" i="15" s="1"/>
  <c r="Y22" i="15"/>
  <c r="Z22" i="15" s="1"/>
  <c r="Y9" i="15"/>
  <c r="Z9" i="15" s="1"/>
  <c r="AF35" i="15"/>
  <c r="AE8" i="15"/>
  <c r="AE24" i="15"/>
  <c r="AG31" i="15"/>
  <c r="AD29" i="15"/>
  <c r="AD44" i="15"/>
  <c r="AD32" i="15"/>
  <c r="Y34" i="15"/>
  <c r="Z34" i="15" s="1"/>
  <c r="AG34" i="15"/>
  <c r="AH25" i="15"/>
  <c r="AD46" i="15"/>
  <c r="AE46" i="15"/>
  <c r="AG46" i="15"/>
  <c r="Y46" i="15"/>
  <c r="Z46" i="15" s="1"/>
  <c r="AH46" i="15"/>
  <c r="AD40" i="15"/>
  <c r="AE40" i="15"/>
  <c r="AF40" i="15"/>
  <c r="Y40" i="15"/>
  <c r="Z40" i="15" s="1"/>
  <c r="AG40" i="15"/>
  <c r="AD27" i="15"/>
  <c r="Y27" i="15"/>
  <c r="Z27" i="15" s="1"/>
  <c r="AF27" i="15"/>
  <c r="AE27" i="15"/>
  <c r="AG27" i="15"/>
  <c r="AF46" i="15"/>
  <c r="AD14" i="15"/>
  <c r="AG14" i="15"/>
  <c r="AF14" i="15"/>
  <c r="AE14" i="15"/>
  <c r="Y14" i="15"/>
  <c r="Z14" i="15" s="1"/>
  <c r="AF41" i="15"/>
  <c r="AH37" i="15"/>
  <c r="AH30" i="15"/>
  <c r="AG45" i="15"/>
  <c r="AF49" i="15"/>
  <c r="AH40" i="15"/>
  <c r="AH14" i="15"/>
  <c r="AD39" i="15"/>
  <c r="AD41" i="15"/>
  <c r="Y49" i="15"/>
  <c r="Z49" i="15" s="1"/>
  <c r="AH27" i="15"/>
  <c r="AG44" i="15"/>
  <c r="AH26" i="15"/>
  <c r="AE41" i="15"/>
  <c r="AD49" i="15"/>
  <c r="AE49" i="15"/>
  <c r="AG49" i="15"/>
  <c r="AG19" i="15" l="1"/>
  <c r="Y19" i="15"/>
  <c r="Z19" i="15" s="1"/>
  <c r="AF45" i="15"/>
  <c r="AH19" i="15"/>
  <c r="AH45" i="15"/>
  <c r="AD45" i="15"/>
  <c r="AE45" i="15"/>
  <c r="AD19" i="15"/>
  <c r="AF42" i="15"/>
  <c r="AH13" i="15"/>
  <c r="AE19" i="15"/>
  <c r="AE34" i="15"/>
  <c r="AF34" i="15"/>
  <c r="AD34" i="15"/>
  <c r="AC33" i="13"/>
  <c r="Y43" i="13"/>
  <c r="Z43" i="13" s="1"/>
  <c r="AG43" i="13"/>
  <c r="AF43" i="13"/>
  <c r="AE43" i="13"/>
  <c r="AD43" i="13"/>
  <c r="Y47" i="13"/>
  <c r="Z47" i="13" s="1"/>
  <c r="AE47" i="13"/>
  <c r="AF47" i="13"/>
  <c r="AD47" i="13"/>
  <c r="AG47" i="13"/>
  <c r="AE28" i="13"/>
  <c r="AD28" i="13"/>
  <c r="AF28" i="13"/>
  <c r="AG28" i="13"/>
  <c r="Y28" i="13"/>
  <c r="Z28" i="13" s="1"/>
  <c r="AE39" i="15"/>
  <c r="AF10" i="15"/>
  <c r="Y51" i="13"/>
  <c r="Z51" i="13" s="1"/>
  <c r="AE51" i="13"/>
  <c r="AF51" i="13"/>
  <c r="AD51" i="13"/>
  <c r="AG51" i="13"/>
  <c r="AH43" i="13"/>
  <c r="AH47" i="13"/>
  <c r="AH28" i="13"/>
  <c r="AF11" i="15"/>
  <c r="Y10" i="15"/>
  <c r="Z10" i="15" s="1"/>
  <c r="AE13" i="15"/>
  <c r="AH11" i="15"/>
  <c r="AH51" i="13"/>
  <c r="Y48" i="13"/>
  <c r="Z48" i="13" s="1"/>
  <c r="AD48" i="13"/>
  <c r="AF48" i="13"/>
  <c r="AE48" i="13"/>
  <c r="AG48" i="13"/>
  <c r="AD23" i="13"/>
  <c r="AG23" i="13"/>
  <c r="Y23" i="13"/>
  <c r="Z23" i="13" s="1"/>
  <c r="AF23" i="13"/>
  <c r="AE23" i="13"/>
  <c r="Y18" i="13"/>
  <c r="Z18" i="13" s="1"/>
  <c r="AG18" i="13"/>
  <c r="AF18" i="13"/>
  <c r="AD18" i="13"/>
  <c r="AE18" i="13"/>
  <c r="AE38" i="13"/>
  <c r="AD38" i="13"/>
  <c r="AG38" i="13"/>
  <c r="AF38" i="13"/>
  <c r="Y38" i="13"/>
  <c r="Z38" i="13" s="1"/>
  <c r="Y49" i="13"/>
  <c r="Z49" i="13" s="1"/>
  <c r="AE49" i="13"/>
  <c r="AG49" i="13"/>
  <c r="AF49" i="13"/>
  <c r="AD49" i="13"/>
  <c r="AG10" i="15"/>
  <c r="AG39" i="15"/>
  <c r="AG52" i="13"/>
  <c r="Y52" i="13"/>
  <c r="Z52" i="13" s="1"/>
  <c r="AF52" i="13"/>
  <c r="AD52" i="13"/>
  <c r="AE52" i="13"/>
  <c r="AH48" i="13"/>
  <c r="AH23" i="13"/>
  <c r="AH18" i="13"/>
  <c r="AH38" i="13"/>
  <c r="AH39" i="15"/>
  <c r="AD10" i="15"/>
  <c r="AF39" i="15"/>
  <c r="AH21" i="15"/>
  <c r="AH42" i="15"/>
  <c r="AD11" i="15"/>
  <c r="AG21" i="15"/>
  <c r="AE21" i="15"/>
  <c r="Y21" i="15"/>
  <c r="Z21" i="15" s="1"/>
  <c r="Y11" i="15"/>
  <c r="Z11" i="15" s="1"/>
  <c r="AG42" i="15"/>
  <c r="AF13" i="15"/>
  <c r="AG11" i="15"/>
  <c r="Y42" i="15"/>
  <c r="Z42" i="15" s="1"/>
  <c r="AD13" i="15"/>
  <c r="AD21" i="15"/>
  <c r="AE42" i="15"/>
  <c r="AG13" i="15"/>
  <c r="AH10" i="15"/>
  <c r="AD22" i="15"/>
  <c r="AG41" i="15"/>
  <c r="AG8" i="15"/>
  <c r="Y44" i="15"/>
  <c r="Z44" i="15" s="1"/>
  <c r="AF8" i="15"/>
  <c r="AF44" i="15"/>
  <c r="AE44" i="15"/>
  <c r="AF9" i="15"/>
  <c r="AD9" i="15"/>
  <c r="Y32" i="15"/>
  <c r="Z32" i="15" s="1"/>
  <c r="AG29" i="15"/>
  <c r="Y29" i="15"/>
  <c r="Z29" i="15" s="1"/>
  <c r="AF22" i="15"/>
  <c r="AF32" i="15"/>
  <c r="AC49" i="15"/>
  <c r="Y24" i="15"/>
  <c r="Z24" i="15" s="1"/>
  <c r="AD24" i="15"/>
  <c r="AG35" i="15"/>
  <c r="Y35" i="15"/>
  <c r="Z35" i="15" s="1"/>
  <c r="AD35" i="15"/>
  <c r="AG32" i="15"/>
  <c r="AE22" i="15"/>
  <c r="AF24" i="15"/>
  <c r="AE32" i="15"/>
  <c r="AF29" i="15"/>
  <c r="AH32" i="15"/>
  <c r="AH29" i="15"/>
  <c r="AH24" i="15"/>
  <c r="AH35" i="15"/>
  <c r="AH22" i="15"/>
  <c r="AE35" i="15"/>
  <c r="AG24" i="15"/>
  <c r="AE29" i="15"/>
  <c r="AE31" i="15"/>
  <c r="Y31" i="15"/>
  <c r="Z31" i="15" s="1"/>
  <c r="AD31" i="15"/>
  <c r="AF31" i="15"/>
  <c r="Y8" i="15"/>
  <c r="Z8" i="15" s="1"/>
  <c r="AD8" i="15"/>
  <c r="AG9" i="15"/>
  <c r="AE9" i="15"/>
  <c r="AC45" i="15"/>
  <c r="AG22" i="15"/>
  <c r="AH44" i="15"/>
  <c r="AH31" i="15"/>
  <c r="AH8" i="15"/>
  <c r="AH9" i="15"/>
  <c r="AH41" i="15"/>
  <c r="AC14" i="15"/>
  <c r="AC27" i="15"/>
  <c r="AC40" i="15"/>
  <c r="AC46" i="15"/>
  <c r="AD17" i="15"/>
  <c r="AF17" i="15"/>
  <c r="AE17" i="15"/>
  <c r="Y17" i="15"/>
  <c r="Z17" i="15" s="1"/>
  <c r="AG17" i="15"/>
  <c r="AD16" i="15"/>
  <c r="AF16" i="15"/>
  <c r="AE16" i="15"/>
  <c r="Y16" i="15"/>
  <c r="Z16" i="15" s="1"/>
  <c r="AG16" i="15"/>
  <c r="Y26" i="15"/>
  <c r="Z26" i="15" s="1"/>
  <c r="AG26" i="15"/>
  <c r="AD26" i="15"/>
  <c r="AF26" i="15"/>
  <c r="AE26" i="15"/>
  <c r="AD47" i="15"/>
  <c r="AE47" i="15"/>
  <c r="AG47" i="15"/>
  <c r="Y47" i="15"/>
  <c r="Z47" i="15" s="1"/>
  <c r="AF47" i="15"/>
  <c r="AD25" i="15"/>
  <c r="AG25" i="15"/>
  <c r="AF25" i="15"/>
  <c r="Y25" i="15"/>
  <c r="Z25" i="15" s="1"/>
  <c r="AE25" i="15"/>
  <c r="AH17" i="15"/>
  <c r="AD36" i="15"/>
  <c r="Y36" i="15"/>
  <c r="Z36" i="15" s="1"/>
  <c r="AF36" i="15"/>
  <c r="AG36" i="15"/>
  <c r="AE36" i="15"/>
  <c r="Y20" i="15"/>
  <c r="Z20" i="15" s="1"/>
  <c r="AE20" i="15"/>
  <c r="AF20" i="15"/>
  <c r="AD20" i="15"/>
  <c r="AG20" i="15"/>
  <c r="AH36" i="15"/>
  <c r="AH20" i="15"/>
  <c r="Y30" i="15"/>
  <c r="Z30" i="15" s="1"/>
  <c r="AD30" i="15"/>
  <c r="AF30" i="15"/>
  <c r="AG30" i="15"/>
  <c r="AE30" i="15"/>
  <c r="AD37" i="15"/>
  <c r="AG37" i="15"/>
  <c r="AF37" i="15"/>
  <c r="Y37" i="15"/>
  <c r="Z37" i="15" s="1"/>
  <c r="AE37" i="15"/>
  <c r="AH16" i="15"/>
  <c r="AH47" i="15"/>
  <c r="AC19" i="15" l="1"/>
  <c r="AC34" i="15"/>
  <c r="AC21" i="15"/>
  <c r="AC39" i="15"/>
  <c r="AC10" i="15"/>
  <c r="AC49" i="13"/>
  <c r="AC52" i="13"/>
  <c r="AC42" i="15"/>
  <c r="AC28" i="13"/>
  <c r="AC47" i="13"/>
  <c r="AC43" i="13"/>
  <c r="AC38" i="13"/>
  <c r="AC51" i="13"/>
  <c r="AC23" i="13"/>
  <c r="AC18" i="13"/>
  <c r="AC48" i="13"/>
  <c r="AC13" i="15"/>
  <c r="AC11" i="15"/>
  <c r="AC41" i="15"/>
  <c r="AC44" i="15"/>
  <c r="AC22" i="15"/>
  <c r="AC32" i="15"/>
  <c r="AC35" i="15"/>
  <c r="AC29" i="15"/>
  <c r="AC26" i="15"/>
  <c r="AC8" i="15"/>
  <c r="AC9" i="15"/>
  <c r="AC24" i="15"/>
  <c r="AC31" i="15"/>
  <c r="AC36" i="15"/>
  <c r="AC37" i="15"/>
  <c r="AC47" i="15"/>
  <c r="AC16" i="15"/>
  <c r="AC30" i="15"/>
  <c r="AC20" i="15"/>
  <c r="AC25" i="15"/>
  <c r="AC17" i="15"/>
  <c r="AE39" i="13" l="1"/>
  <c r="AF41" i="13"/>
  <c r="AG41" i="13"/>
  <c r="AE42" i="13"/>
  <c r="Y46" i="13"/>
  <c r="Z46" i="13" s="1"/>
  <c r="AH11" i="13"/>
  <c r="AF11" i="13"/>
  <c r="AE21" i="13"/>
  <c r="AE12" i="13"/>
  <c r="AG17" i="13"/>
  <c r="AF27" i="13"/>
  <c r="AD27" i="13"/>
  <c r="AD34" i="13"/>
  <c r="AE14" i="13"/>
  <c r="AE37" i="13"/>
  <c r="Y9" i="13"/>
  <c r="Z9" i="13" s="1"/>
  <c r="AD9" i="13"/>
  <c r="AF31" i="13"/>
  <c r="AH36" i="13"/>
  <c r="AF22" i="13"/>
  <c r="AG44" i="13"/>
  <c r="AH26" i="13"/>
  <c r="AH24" i="13"/>
  <c r="AG16" i="13"/>
  <c r="AE32" i="13"/>
  <c r="AD29" i="13"/>
  <c r="AE19" i="13"/>
  <c r="AE29" i="13" l="1"/>
  <c r="AF29" i="13"/>
  <c r="AD24" i="13"/>
  <c r="AH34" i="13"/>
  <c r="AE11" i="13"/>
  <c r="AE31" i="13"/>
  <c r="AF9" i="13"/>
  <c r="AD46" i="13"/>
  <c r="AH29" i="13"/>
  <c r="Y14" i="13"/>
  <c r="Z14" i="13" s="1"/>
  <c r="AE24" i="13"/>
  <c r="AH17" i="13"/>
  <c r="AE46" i="13"/>
  <c r="Y27" i="13"/>
  <c r="Z27" i="13" s="1"/>
  <c r="AE27" i="13"/>
  <c r="Y24" i="13"/>
  <c r="Z24" i="13" s="1"/>
  <c r="AE34" i="13"/>
  <c r="AG19" i="13"/>
  <c r="AH21" i="13"/>
  <c r="AG31" i="13"/>
  <c r="AF46" i="13"/>
  <c r="AH14" i="13"/>
  <c r="AH27" i="13"/>
  <c r="Y29" i="13"/>
  <c r="Z29" i="13" s="1"/>
  <c r="Y11" i="13"/>
  <c r="Z11" i="13" s="1"/>
  <c r="Y39" i="13"/>
  <c r="Z39" i="13" s="1"/>
  <c r="Y22" i="13"/>
  <c r="Z22" i="13" s="1"/>
  <c r="AD14" i="13"/>
  <c r="AH39" i="13"/>
  <c r="AE44" i="13"/>
  <c r="AG22" i="13"/>
  <c r="AD19" i="13"/>
  <c r="AG29" i="13"/>
  <c r="AD16" i="13"/>
  <c r="AH44" i="13"/>
  <c r="AH22" i="13"/>
  <c r="Y31" i="13"/>
  <c r="Z31" i="13" s="1"/>
  <c r="AG34" i="13"/>
  <c r="AF34" i="13"/>
  <c r="AE17" i="13"/>
  <c r="AH16" i="13"/>
  <c r="AG11" i="13"/>
  <c r="AH46" i="13"/>
  <c r="AG46" i="13"/>
  <c r="AG14" i="13"/>
  <c r="AH41" i="13"/>
  <c r="AD31" i="13"/>
  <c r="AG39" i="13"/>
  <c r="AD22" i="13"/>
  <c r="AD11" i="13"/>
  <c r="AC11" i="13" s="1"/>
  <c r="Y34" i="13"/>
  <c r="Z34" i="13" s="1"/>
  <c r="AF44" i="13"/>
  <c r="AE22" i="13"/>
  <c r="AF21" i="13"/>
  <c r="AE16" i="13"/>
  <c r="AF14" i="13"/>
  <c r="AG27" i="13"/>
  <c r="AD39" i="13"/>
  <c r="AF39" i="13"/>
  <c r="Y21" i="13"/>
  <c r="Z21" i="13" s="1"/>
  <c r="AD17" i="13"/>
  <c r="Y19" i="13"/>
  <c r="Z19" i="13" s="1"/>
  <c r="AF37" i="13"/>
  <c r="AE26" i="13"/>
  <c r="AD42" i="13"/>
  <c r="AG32" i="13"/>
  <c r="AD37" i="13"/>
  <c r="AH19" i="13"/>
  <c r="AH12" i="13"/>
  <c r="AG37" i="13"/>
  <c r="AH9" i="13"/>
  <c r="AH32" i="13"/>
  <c r="AE36" i="13"/>
  <c r="AF17" i="13"/>
  <c r="AG21" i="13"/>
  <c r="AF16" i="13"/>
  <c r="AG26" i="13"/>
  <c r="AH31" i="13"/>
  <c r="AG9" i="13"/>
  <c r="Y16" i="13"/>
  <c r="Z16" i="13" s="1"/>
  <c r="Y41" i="13"/>
  <c r="Z41" i="13" s="1"/>
  <c r="Y42" i="13"/>
  <c r="Z42" i="13" s="1"/>
  <c r="AD12" i="13"/>
  <c r="Y44" i="13"/>
  <c r="Z44" i="13" s="1"/>
  <c r="Y36" i="13"/>
  <c r="Z36" i="13" s="1"/>
  <c r="Y17" i="13"/>
  <c r="Z17" i="13" s="1"/>
  <c r="AD44" i="13"/>
  <c r="Y12" i="13"/>
  <c r="Z12" i="13" s="1"/>
  <c r="Y26" i="13"/>
  <c r="Z26" i="13" s="1"/>
  <c r="Y32" i="13"/>
  <c r="Z32" i="13" s="1"/>
  <c r="AD36" i="13"/>
  <c r="AG36" i="13"/>
  <c r="AG24" i="13"/>
  <c r="AD32" i="13"/>
  <c r="AF26" i="13"/>
  <c r="AG42" i="13"/>
  <c r="AF24" i="13"/>
  <c r="AF19" i="13"/>
  <c r="AG12" i="13"/>
  <c r="AH37" i="13"/>
  <c r="AF42" i="13"/>
  <c r="AE41" i="13"/>
  <c r="AD41" i="13"/>
  <c r="AD21" i="13"/>
  <c r="AF32" i="13"/>
  <c r="AD26" i="13"/>
  <c r="AF36" i="13"/>
  <c r="Y37" i="13"/>
  <c r="Z37" i="13" s="1"/>
  <c r="AF12" i="13"/>
  <c r="AH42" i="13"/>
  <c r="AE9" i="13"/>
  <c r="AC9" i="13" s="1"/>
  <c r="AC29" i="13" l="1"/>
  <c r="AC24" i="13"/>
  <c r="AC27" i="13"/>
  <c r="AC34" i="13"/>
  <c r="AC14" i="13"/>
  <c r="AC19" i="13"/>
  <c r="AC31" i="13"/>
  <c r="AC46" i="13"/>
  <c r="AC39" i="13"/>
  <c r="AC21" i="13"/>
  <c r="AC16" i="13"/>
  <c r="AC41" i="13"/>
  <c r="AC44" i="13"/>
  <c r="AC32" i="13"/>
  <c r="AC17" i="13"/>
  <c r="AC22" i="13"/>
  <c r="AC36" i="13"/>
  <c r="AC12" i="13"/>
  <c r="AC37" i="13"/>
  <c r="AC26" i="13"/>
  <c r="AC4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Val R. (Fed)</author>
    <author>Miller, Val R.</author>
  </authors>
  <commentList>
    <comment ref="A3" authorId="0" shapeId="0" xr:uid="{8D7EFE32-5A1D-456E-8E7E-3A3C736B0A9D}">
      <text>
        <r>
          <rPr>
            <b/>
            <sz val="9"/>
            <color indexed="81"/>
            <rFont val="Tahoma"/>
            <family val="2"/>
          </rPr>
          <t>"Volume of Restraint" is the sum of all artifact volumes in the restraint.</t>
        </r>
      </text>
    </comment>
    <comment ref="B3" authorId="0" shapeId="0" xr:uid="{1F08CF30-E84E-4534-86ED-6FC22ADFC065}">
      <text>
        <r>
          <rPr>
            <b/>
            <sz val="9"/>
            <color indexed="81"/>
            <rFont val="Tahoma"/>
            <family val="2"/>
          </rPr>
          <t>The "Nominal of Restraint"  is the combined nominal of the restraint, as established in the design.</t>
        </r>
      </text>
    </comment>
    <comment ref="D3" authorId="0" shapeId="0" xr:uid="{E27AC158-CDF3-4EB2-8609-3907FD2A3779}">
      <text>
        <r>
          <rPr>
            <b/>
            <sz val="9"/>
            <color indexed="81"/>
            <rFont val="Tahoma"/>
            <family val="2"/>
          </rPr>
          <t xml:space="preserve">"Cal Cert U of Starting Restraint" is typically the sum of the </t>
        </r>
        <r>
          <rPr>
            <b/>
            <i/>
            <sz val="9"/>
            <color indexed="81"/>
            <rFont val="Tahoma"/>
            <family val="2"/>
          </rPr>
          <t>k</t>
        </r>
        <r>
          <rPr>
            <b/>
            <sz val="9"/>
            <color indexed="81"/>
            <rFont val="Tahoma"/>
            <family val="2"/>
          </rPr>
          <t>=1 uncertainties of the restraint, though in rare cases the RSS value may be appropriate.</t>
        </r>
      </text>
    </comment>
    <comment ref="E3" authorId="0" shapeId="0" xr:uid="{F50F3867-F939-41FC-B121-A06AF7819C01}">
      <text>
        <r>
          <rPr>
            <b/>
            <sz val="9"/>
            <color indexed="81"/>
            <rFont val="Tahoma"/>
            <family val="2"/>
          </rPr>
          <t>The "Sensitivity used for Series 1" will typically be the average sensitivity for Series 1 from the Mass Code report, but when no sensitivity weight is used, e.g., automated comparators, will be the sensitivity value entered for the comparator used.</t>
        </r>
      </text>
    </comment>
    <comment ref="F3" authorId="1" shapeId="0" xr:uid="{336F26CA-D9CB-41DB-BC23-202F3ED6F62D}">
      <text>
        <r>
          <rPr>
            <b/>
            <sz val="9"/>
            <color indexed="81"/>
            <rFont val="Tahoma"/>
            <family val="2"/>
          </rPr>
          <t>This value will typically be equal to the sensitivity used unless there is a known uncorrected sensitivity bias.
Variations in sensitivity are measured in the within process standard deviation.</t>
        </r>
      </text>
    </comment>
    <comment ref="G3" authorId="1" shapeId="0" xr:uid="{21DBA168-A947-4110-B19D-12DE2700EE8C}">
      <text>
        <r>
          <rPr>
            <b/>
            <sz val="9"/>
            <color indexed="81"/>
            <rFont val="Tahoma"/>
            <family val="2"/>
          </rPr>
          <t>This value will typically be equal to the sensitivity used unless there is a known uncorrected sensitivity bias.
Variations in sensitivity are measured in the within process standard deviation.</t>
        </r>
      </text>
    </comment>
    <comment ref="H3" authorId="0" shapeId="0" xr:uid="{CA21AA62-EC33-485A-AE47-3D72FEE6B27D}">
      <text>
        <r>
          <rPr>
            <b/>
            <sz val="9"/>
            <color indexed="81"/>
            <rFont val="Tahoma"/>
            <family val="2"/>
          </rPr>
          <t>From Mass Code report for Series 1.</t>
        </r>
      </text>
    </comment>
    <comment ref="I3" authorId="0" shapeId="0" xr:uid="{458041AE-BB18-4C2A-9C6C-93605D6C4B53}">
      <text>
        <r>
          <rPr>
            <b/>
            <sz val="9"/>
            <color indexed="81"/>
            <rFont val="Tahoma"/>
            <family val="2"/>
          </rPr>
          <t>From Mass Code report for Series 1.</t>
        </r>
        <r>
          <rPr>
            <sz val="9"/>
            <color indexed="81"/>
            <rFont val="Tahoma"/>
            <family val="2"/>
          </rPr>
          <t xml:space="preserve">
</t>
        </r>
      </text>
    </comment>
    <comment ref="L3" authorId="0" shapeId="0" xr:uid="{1DBB412C-6992-43EF-855A-8761F23EA496}">
      <text>
        <r>
          <rPr>
            <b/>
            <sz val="9"/>
            <color indexed="81"/>
            <rFont val="Tahoma"/>
            <family val="2"/>
          </rPr>
          <t xml:space="preserve">10 % of the CCE is used as described in guidance from EURAMET cg-19, Guidelines on the determination of uncertainty in gravimetric volume calibration version 2.1, paragraph 5.3.6.
The temperature displayed in the cell above is the  temperature entered in U3.
</t>
        </r>
        <r>
          <rPr>
            <sz val="9"/>
            <color indexed="81"/>
            <rFont val="Tahoma"/>
            <family val="2"/>
          </rPr>
          <t xml:space="preserve">
</t>
        </r>
      </text>
    </comment>
    <comment ref="M3" authorId="0" shapeId="0" xr:uid="{A32F0189-DB0F-4E09-8BB2-01E7BAD2AC8F}">
      <text>
        <r>
          <rPr>
            <b/>
            <sz val="9"/>
            <color indexed="81"/>
            <rFont val="Tahoma"/>
            <family val="2"/>
          </rPr>
          <t>Effective density of the restraint.</t>
        </r>
        <r>
          <rPr>
            <sz val="9"/>
            <color indexed="81"/>
            <rFont val="Tahoma"/>
            <family val="2"/>
          </rPr>
          <t xml:space="preserve">
</t>
        </r>
      </text>
    </comment>
    <comment ref="N3" authorId="0" shapeId="0" xr:uid="{10CD549F-23C9-47C6-A3EE-83C1863E81C4}">
      <text>
        <r>
          <rPr>
            <b/>
            <sz val="9"/>
            <color indexed="81"/>
            <rFont val="Tahoma"/>
            <family val="2"/>
          </rPr>
          <t>Uncertainty of the density of the restraint.</t>
        </r>
      </text>
    </comment>
    <comment ref="O3" authorId="0" shapeId="0" xr:uid="{E9C548D4-FFBF-43CC-8E93-A7D8560D635A}">
      <text>
        <r>
          <rPr>
            <b/>
            <sz val="9"/>
            <color indexed="81"/>
            <rFont val="Tahoma"/>
            <family val="2"/>
          </rPr>
          <t>Uncertainty of the ability to measure the air temperature.  Though not necessarily correct because of the difficulties accurately measuring air temperature, this value is typically the uncertainty of the thermometer used for that purpose during Series 1.</t>
        </r>
        <r>
          <rPr>
            <sz val="9"/>
            <color indexed="81"/>
            <rFont val="Tahoma"/>
            <family val="2"/>
          </rPr>
          <t xml:space="preserve">
</t>
        </r>
      </text>
    </comment>
    <comment ref="P3" authorId="0" shapeId="0" xr:uid="{06096532-2D9C-4250-B187-96A671D78B26}">
      <text>
        <r>
          <rPr>
            <b/>
            <sz val="9"/>
            <color indexed="81"/>
            <rFont val="Tahoma"/>
            <family val="2"/>
          </rPr>
          <t>The uncertianty of the Relative Humidity measurement during Series 1.</t>
        </r>
        <r>
          <rPr>
            <sz val="9"/>
            <color indexed="81"/>
            <rFont val="Tahoma"/>
            <family val="2"/>
          </rPr>
          <t xml:space="preserve">
</t>
        </r>
      </text>
    </comment>
    <comment ref="Q3" authorId="0" shapeId="0" xr:uid="{BA6384C5-11E5-4622-A58D-69A86DE9C8E8}">
      <text>
        <r>
          <rPr>
            <b/>
            <sz val="9"/>
            <color indexed="81"/>
            <rFont val="Tahoma"/>
            <family val="2"/>
          </rPr>
          <t>Uncertainty of the barometer used to measure the barometric pressure.  This assumes that there is no elevation offset in the pressure measurement; the barometer is at the height of the measurements performed.</t>
        </r>
      </text>
    </comment>
    <comment ref="S3" authorId="0" shapeId="0" xr:uid="{380C614C-DC62-4396-A983-CFBBB9D58E3A}">
      <text>
        <r>
          <rPr>
            <b/>
            <sz val="9"/>
            <color indexed="81"/>
            <rFont val="Tahoma"/>
            <family val="2"/>
          </rPr>
          <t>Enter the actual calculated air density present during Series 1.</t>
        </r>
      </text>
    </comment>
    <comment ref="T3" authorId="0" shapeId="0" xr:uid="{8E941725-B8A6-4545-A346-75B3F311BAA2}">
      <text>
        <r>
          <rPr>
            <b/>
            <sz val="9"/>
            <color indexed="81"/>
            <rFont val="Tahoma"/>
            <family val="2"/>
          </rPr>
          <t>This value comes from the calibration certificate for the restraint artifacts.  If the restraints were not calibrated together so that the pressures were equal, use the BP from the certificates that deviates the most from Normal air density.</t>
        </r>
      </text>
    </comment>
    <comment ref="U3" authorId="0" shapeId="0" xr:uid="{F2B302E7-68A2-4440-BD17-A69A5E064BE9}">
      <text>
        <r>
          <rPr>
            <b/>
            <sz val="9"/>
            <color indexed="81"/>
            <rFont val="Tahoma"/>
            <family val="2"/>
          </rPr>
          <t>This deviation value is based on the temperature of the mass standards during Series 1 measurements.</t>
        </r>
        <r>
          <rPr>
            <sz val="9"/>
            <color indexed="81"/>
            <rFont val="Tahoma"/>
            <family val="2"/>
          </rPr>
          <t xml:space="preserve">
</t>
        </r>
      </text>
    </comment>
    <comment ref="V3" authorId="0" shapeId="0" xr:uid="{2F256586-E5D8-41BC-B211-FF226698345D}">
      <text>
        <r>
          <rPr>
            <b/>
            <sz val="9"/>
            <color indexed="81"/>
            <rFont val="Tahoma"/>
            <family val="2"/>
          </rPr>
          <t>Based on the material of the restraint.  The effective CCE may be used if materials differ.</t>
        </r>
        <r>
          <rPr>
            <sz val="9"/>
            <color indexed="81"/>
            <rFont val="Tahoma"/>
            <family val="2"/>
          </rPr>
          <t xml:space="preserve">
</t>
        </r>
      </text>
    </comment>
    <comment ref="X3" authorId="0" shapeId="0" xr:uid="{16A07575-046B-4454-967D-8128DF8E3D6C}">
      <text>
        <r>
          <rPr>
            <b/>
            <sz val="9"/>
            <color indexed="81"/>
            <rFont val="Tahoma"/>
            <family val="2"/>
          </rPr>
          <t>u_Sens_R:
Calculated sensitivity uncertainty to be included in the combined uncetainty.
(MAX(ABS(Max_Sens_R-Avg_Sens_R),ABS(Min_Sens_R-Avg_Sens_R)))/(SQRT(3))*(MaxAi_R-MinAi_R)</t>
        </r>
      </text>
    </comment>
    <comment ref="B7" authorId="1" shapeId="0" xr:uid="{44F1EEDD-4EA6-4948-A3D4-AF4FE74AB9CD}">
      <text>
        <r>
          <rPr>
            <b/>
            <sz val="9"/>
            <color indexed="81"/>
            <rFont val="Tahoma"/>
            <family val="2"/>
          </rPr>
          <t>Enter the tolerance for the weight set being calibrated.</t>
        </r>
      </text>
    </comment>
    <comment ref="D7" authorId="1" shapeId="0" xr:uid="{01AE58E8-4698-4B90-99F1-0AD36EA58EDB}">
      <text>
        <r>
          <rPr>
            <b/>
            <sz val="10"/>
            <color indexed="81"/>
            <rFont val="Tahoma"/>
            <family val="2"/>
          </rPr>
          <t>This uncertainty component is the value of the uncertainty of the restraint applied proportionately to the nominal value of the unknown.  
HINT:  For nomnal X values less than the restraint, the value will be proportionately less than the uncertainty of the restraint. 
For nominal X values larger than the restraint, this value will be proportionately larger than the uncertainty of the restraint.</t>
        </r>
      </text>
    </comment>
    <comment ref="E7" authorId="1" shapeId="0" xr:uid="{63C4E98B-B3C4-4BBD-B8A5-F28E166E59C4}">
      <text>
        <r>
          <rPr>
            <b/>
            <sz val="9"/>
            <color indexed="81"/>
            <rFont val="Tahoma"/>
            <family val="2"/>
          </rPr>
          <t>The Type A values will come from the mass code report for each nomnal mass.</t>
        </r>
      </text>
    </comment>
    <comment ref="F7" authorId="1" shapeId="0" xr:uid="{F57F91CA-2AEB-464B-BFBB-694B410119AC}">
      <text>
        <r>
          <rPr>
            <b/>
            <sz val="9"/>
            <color indexed="81"/>
            <rFont val="Tahoma"/>
            <family val="2"/>
          </rPr>
          <t xml:space="preserve">This value is the RSS of columns D and E for each nominal X value.
</t>
        </r>
      </text>
    </comment>
    <comment ref="H7" authorId="1" shapeId="0" xr:uid="{EA28442D-2C02-47B1-8025-D7D2F40A9D73}">
      <text>
        <r>
          <rPr>
            <b/>
            <sz val="9"/>
            <color indexed="81"/>
            <rFont val="Tahoma"/>
            <family val="2"/>
          </rPr>
          <t xml:space="preserve">The U²(ABC) is calculated as a variance because under some conditions it may actually decrease the uncertainty of the measurent result slightly and would thus be a negative value.  As the square root of a negative number is an Imaginary number, the only way to utilize this component in normal mathematical equations is to keep it as a variance.  It will be combined with variances of the rest of the uncertainty components associated with X.
The u²(ABC) value calculated for the unknown weight is based on the standard conditions established by OIML D28 as the internal calculations of the Mass Code software do all calculations of the mass values relative to standard conditions: 
Rho X: 8000 kg/m³, 
Temperature: 20 °C,
Rho Air: 1.2 kg/m³. </t>
        </r>
      </text>
    </comment>
    <comment ref="I7" authorId="1" shapeId="0" xr:uid="{87B73961-4FCA-468B-BA42-E6030346F5A3}">
      <text>
        <r>
          <rPr>
            <b/>
            <sz val="9"/>
            <color indexed="81"/>
            <rFont val="Tahoma"/>
            <family val="2"/>
          </rPr>
          <t>The average sensitivity for each X will come from the mass code report and will be the calculated average of all the MC calculated sensitivity values of each series.  It may be different than the average sensitivity used for the mass code solutions.</t>
        </r>
      </text>
    </comment>
    <comment ref="J7" authorId="1" shapeId="0" xr:uid="{2AD70824-F1E1-4D88-973B-FFB5661AF271}">
      <text>
        <r>
          <rPr>
            <b/>
            <sz val="9"/>
            <color indexed="81"/>
            <rFont val="Tahoma"/>
            <family val="2"/>
          </rPr>
          <t>From the mass code report for the series in which the artifact is assigned a value.
Variations in sensitivity may be also measured in the within process standard deviation.</t>
        </r>
      </text>
    </comment>
    <comment ref="K7" authorId="1" shapeId="0" xr:uid="{ACEE3FC9-8CCF-409F-8E71-A27D205B13B6}">
      <text>
        <r>
          <rPr>
            <b/>
            <sz val="9"/>
            <color indexed="81"/>
            <rFont val="Tahoma"/>
            <family val="2"/>
          </rPr>
          <t>From the mass code report for the series in which the artifact is assigned a value.
Variations in sensitivity may be also measured in the within process standard deviation.</t>
        </r>
      </text>
    </comment>
    <comment ref="L7" authorId="1" shapeId="0" xr:uid="{496D67B8-807D-4395-9520-A6DAB5D681FF}">
      <text>
        <r>
          <rPr>
            <b/>
            <sz val="9"/>
            <color indexed="81"/>
            <rFont val="Tahoma"/>
            <family val="2"/>
          </rPr>
          <t>The calculated sensitivity error uncertainty contribution for X.
Calculations are based on the deviation of the sensitivity during the series from the average, multiplied by the difference limits set by the tolerance.</t>
        </r>
      </text>
    </comment>
    <comment ref="M7" authorId="1" shapeId="0" xr:uid="{81B2F515-FF02-4826-B2B8-D454546723BC}">
      <text>
        <r>
          <rPr>
            <b/>
            <sz val="9"/>
            <color indexed="81"/>
            <rFont val="Tahoma"/>
            <family val="2"/>
          </rPr>
          <t xml:space="preserve">Enter the density value for X entered in the MC input file for the comparisons.
Entered values must be </t>
        </r>
        <r>
          <rPr>
            <b/>
            <u/>
            <sz val="9"/>
            <color indexed="81"/>
            <rFont val="Tahoma"/>
            <family val="2"/>
          </rPr>
          <t>between</t>
        </r>
        <r>
          <rPr>
            <b/>
            <sz val="9"/>
            <color indexed="81"/>
            <rFont val="Tahoma"/>
            <family val="2"/>
          </rPr>
          <t>:
2.6 and 2.8 g/cm³, or
7.8 and 8.05 g/cm³, or
8.3 and 8.6 g/cm³, or
16.5 and 16.8 g/cm³
to correctly generate the CCE value.</t>
        </r>
      </text>
    </comment>
    <comment ref="N7" authorId="1" shapeId="0" xr:uid="{3CAA50BE-4C14-49ED-A878-C65DD36AB454}">
      <text>
        <r>
          <rPr>
            <b/>
            <sz val="9"/>
            <color indexed="81"/>
            <rFont val="Tahoma"/>
            <family val="2"/>
          </rPr>
          <t xml:space="preserve">The estimated uncertainty of the entered density value for X. The default 0.07 g/cm³ value is the </t>
        </r>
        <r>
          <rPr>
            <b/>
            <i/>
            <sz val="9"/>
            <color indexed="81"/>
            <rFont val="Tahoma"/>
            <family val="2"/>
          </rPr>
          <t>k</t>
        </r>
        <r>
          <rPr>
            <b/>
            <sz val="9"/>
            <color indexed="81"/>
            <rFont val="Tahoma"/>
            <family val="2"/>
          </rPr>
          <t>=1 portion of the density uncertainty given in OIML R111.  If the density is known to a better uncertainty use that uncertiainty value.  Most U.S. weight manufacturers believe that the uncertainty of thier assumed density is 0.025 g/cm³ (</t>
        </r>
        <r>
          <rPr>
            <b/>
            <i/>
            <sz val="9"/>
            <color indexed="81"/>
            <rFont val="Tahoma"/>
            <family val="2"/>
          </rPr>
          <t>k</t>
        </r>
        <r>
          <rPr>
            <b/>
            <sz val="9"/>
            <color indexed="81"/>
            <rFont val="Tahoma"/>
            <family val="2"/>
          </rPr>
          <t>=1)</t>
        </r>
      </text>
    </comment>
    <comment ref="O7" authorId="1" shapeId="0" xr:uid="{97BAE0F6-88AB-4996-A81E-41F8C3A34D13}">
      <text>
        <r>
          <rPr>
            <b/>
            <sz val="9"/>
            <color indexed="81"/>
            <rFont val="Tahoma"/>
            <family val="2"/>
          </rPr>
          <t>The uncertainty of the air temperature in which the measurements are performed.  Though not completely correct because of the difficulty of measuring air temperature, the value used is tyically the calibration uncertainty of the thermometer used to measure air temperature.</t>
        </r>
      </text>
    </comment>
    <comment ref="P7" authorId="1" shapeId="0" xr:uid="{BA48D2DB-62C5-49E8-8DB9-6C32BF743937}">
      <text>
        <r>
          <rPr>
            <b/>
            <sz val="9"/>
            <color indexed="81"/>
            <rFont val="Tahoma"/>
            <family val="2"/>
          </rPr>
          <t>Unertainty of the relative humidity measurement of the air surrounding the comparison measurements.  Typically the value used will be the uncertainty of the calibration of the hygrometer.</t>
        </r>
      </text>
    </comment>
    <comment ref="Q7" authorId="1" shapeId="0" xr:uid="{987ABB1B-00CC-44FD-847C-A398FED56244}">
      <text>
        <r>
          <rPr>
            <b/>
            <sz val="9"/>
            <color indexed="81"/>
            <rFont val="Tahoma"/>
            <family val="2"/>
          </rPr>
          <t>Unertainty of the barometric pressure measurement of the air surrounding the comparison measurements.  Typically the value used will be the uncertainty of the calibration of the barometer.</t>
        </r>
      </text>
    </comment>
    <comment ref="R7" authorId="1" shapeId="0" xr:uid="{BCF9A4BF-20F8-459C-901D-60CACD10AFEB}">
      <text>
        <r>
          <rPr>
            <b/>
            <sz val="9"/>
            <color indexed="81"/>
            <rFont val="Tahoma"/>
            <family val="2"/>
          </rPr>
          <t>Enter the value of the actual calculated air density during the series for that nominal value.</t>
        </r>
      </text>
    </comment>
    <comment ref="S7" authorId="1" shapeId="0" xr:uid="{73E8E8EC-EFDE-4DF0-B5C3-BBBFFFA71BBE}">
      <text>
        <r>
          <rPr>
            <b/>
            <sz val="9"/>
            <color indexed="81"/>
            <rFont val="Tahoma"/>
            <family val="2"/>
          </rPr>
          <t>The effect of this component on the mass uncertainty is negligible, but is shown here to demonstrate that the effect was considered.
Follow the guidance for this component given in the 2007 Air Density paper.</t>
        </r>
      </text>
    </comment>
    <comment ref="T7" authorId="1" shapeId="0" xr:uid="{246FDD4E-CB7A-44A3-85AF-EDBDE2840250}">
      <text>
        <r>
          <rPr>
            <b/>
            <sz val="9"/>
            <color indexed="81"/>
            <rFont val="Tahoma"/>
            <family val="2"/>
          </rPr>
          <t>The CCE shown is based on the density entered in column M.
It is assumed that Mass Code will NOT be used to calibrate Brass weights which have a density of 8.3909 g/cm³ and CCE of 0.000054/°C.
Entering 8.3909 will return the CCE of Nichrome.</t>
        </r>
      </text>
    </comment>
    <comment ref="U7" authorId="0" shapeId="0" xr:uid="{B00E8550-9860-48CF-A2DA-1F088E0B6526}">
      <text>
        <r>
          <rPr>
            <b/>
            <sz val="9"/>
            <color indexed="81"/>
            <rFont val="Tahoma"/>
            <family val="2"/>
          </rPr>
          <t>These values will generally be the maximum recorded deviation of the temperature from 20 °C during a series.
If the maximum temperature measures 22.1 °C the deviation will be 2.1.  
If the minimum temperature measures 18.9 °C the deviation will be 1.1 °C.</t>
        </r>
        <r>
          <rPr>
            <sz val="9"/>
            <color indexed="81"/>
            <rFont val="Tahoma"/>
            <family val="2"/>
          </rPr>
          <t xml:space="preserve">
</t>
        </r>
      </text>
    </comment>
    <comment ref="V7" authorId="1" shapeId="0" xr:uid="{34BF0CAE-616F-47B6-8D36-5F7799F8F736}">
      <text>
        <r>
          <rPr>
            <b/>
            <sz val="9"/>
            <color indexed="81"/>
            <rFont val="Tahoma"/>
            <family val="2"/>
          </rPr>
          <t xml:space="preserve">10 % of the CCE is used as described in guidance from EURAMET cg-19, Guidelines on the determination of uncertainty in gravimetric volume calibration version 2.1, paragraph 5.3.6.
The temperature displayed in this cell will be the average of all temperature deviations in column W.
</t>
        </r>
      </text>
    </comment>
    <comment ref="W7" authorId="1" shapeId="0" xr:uid="{8B21E3CD-1667-46A9-BBD2-A9B4B17FA3AE}">
      <text>
        <r>
          <rPr>
            <b/>
            <sz val="9"/>
            <color indexed="81"/>
            <rFont val="Tahoma"/>
            <family val="2"/>
          </rPr>
          <t>This column shows the calculated</t>
        </r>
        <r>
          <rPr>
            <b/>
            <i/>
            <sz val="9"/>
            <color indexed="81"/>
            <rFont val="Tahoma"/>
            <family val="2"/>
          </rPr>
          <t xml:space="preserve"> k</t>
        </r>
        <r>
          <rPr>
            <b/>
            <sz val="9"/>
            <color indexed="81"/>
            <rFont val="Tahoma"/>
            <family val="2"/>
          </rPr>
          <t>=1 combined uncertianty for all components included in this uncertainty budget.
NOTE: Variances are already squared and are included as shown.</t>
        </r>
        <r>
          <rPr>
            <sz val="9"/>
            <color indexed="81"/>
            <rFont val="Tahoma"/>
            <family val="2"/>
          </rPr>
          <t xml:space="preserve">
</t>
        </r>
      </text>
    </comment>
    <comment ref="X7" authorId="1" shapeId="0" xr:uid="{56067F1E-6E21-4310-BE70-20D3BDCA6875}">
      <text>
        <r>
          <rPr>
            <b/>
            <sz val="9"/>
            <color indexed="81"/>
            <rFont val="Tahoma"/>
            <family val="2"/>
          </rPr>
          <t xml:space="preserve">Enter the appropriate </t>
        </r>
        <r>
          <rPr>
            <b/>
            <i/>
            <sz val="9"/>
            <color indexed="81"/>
            <rFont val="Tahoma"/>
            <family val="2"/>
          </rPr>
          <t>k</t>
        </r>
        <r>
          <rPr>
            <b/>
            <sz val="9"/>
            <color indexed="81"/>
            <rFont val="Tahoma"/>
            <family val="2"/>
          </rPr>
          <t xml:space="preserve"> value based on the degrees of freedom associated with this nomal X value.</t>
        </r>
      </text>
    </comment>
    <comment ref="Y7" authorId="1" shapeId="0" xr:uid="{CB927A46-A198-4C46-90F3-CA005CD36DCE}">
      <text>
        <r>
          <rPr>
            <b/>
            <i/>
            <sz val="9"/>
            <color indexed="81"/>
            <rFont val="Tahoma"/>
            <family val="2"/>
          </rPr>
          <t>k</t>
        </r>
        <r>
          <rPr>
            <b/>
            <sz val="9"/>
            <color indexed="81"/>
            <rFont val="Tahoma"/>
            <family val="2"/>
          </rPr>
          <t xml:space="preserve">=2 is shown in the heading but each u(c) 
is expanded by multiplying the entered k value for that nominal X . 
</t>
        </r>
        <r>
          <rPr>
            <sz val="9"/>
            <color indexed="81"/>
            <rFont val="Tahoma"/>
            <family val="2"/>
          </rPr>
          <t>(There is no way to easily show the actual k value for each nominal.)</t>
        </r>
      </text>
    </comment>
    <comment ref="Z7" authorId="1" shapeId="0" xr:uid="{4090BA5E-50D6-46DD-8969-11951411BA69}">
      <text>
        <r>
          <rPr>
            <b/>
            <sz val="9"/>
            <color indexed="81"/>
            <rFont val="Tahoma"/>
            <family val="2"/>
          </rPr>
          <t>The Pn value is calculated based on the tolerance entered in column B.  If the Pn cell background is RED, the uncertainty exceeds the Tolerance/3 limit.</t>
        </r>
        <r>
          <rPr>
            <sz val="9"/>
            <color indexed="81"/>
            <rFont val="Tahoma"/>
            <family val="2"/>
          </rPr>
          <t xml:space="preserve">
</t>
        </r>
      </text>
    </comment>
    <comment ref="AA7" authorId="1" shapeId="0" xr:uid="{84A2301E-9DD0-4FB5-8DC1-0F343128E7E9}">
      <text>
        <r>
          <rPr>
            <b/>
            <sz val="9"/>
            <color indexed="81"/>
            <rFont val="Tahoma"/>
            <family val="2"/>
          </rPr>
          <t>The Nominal value is shown in this column for convenience.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Miller, Val R. (Fed)</author>
    <author>Miller, Val R.</author>
  </authors>
  <commentList>
    <comment ref="A3" authorId="0" shapeId="0" xr:uid="{FE2DC849-D0B1-4103-A8E9-FD857B881F69}">
      <text>
        <r>
          <rPr>
            <b/>
            <sz val="9"/>
            <color indexed="81"/>
            <rFont val="Tahoma"/>
            <family val="2"/>
          </rPr>
          <t>"Volume of Restraint" is the sum of all artifact volumes in the restraint.</t>
        </r>
      </text>
    </comment>
    <comment ref="B3" authorId="0" shapeId="0" xr:uid="{7377027D-BE6F-4891-9190-6977613EC2B8}">
      <text>
        <r>
          <rPr>
            <b/>
            <sz val="9"/>
            <color indexed="81"/>
            <rFont val="Tahoma"/>
            <family val="2"/>
          </rPr>
          <t>The "Nominal of Restraint"  is the combined nominal of the restraint, as established in the design.</t>
        </r>
      </text>
    </comment>
    <comment ref="D3" authorId="0" shapeId="0" xr:uid="{D7947EA9-17F6-4C8D-87B4-E0784172356A}">
      <text>
        <r>
          <rPr>
            <b/>
            <sz val="9"/>
            <color indexed="81"/>
            <rFont val="Tahoma"/>
            <family val="2"/>
          </rPr>
          <t xml:space="preserve">"Cal Cert U of Starting Restraint" is typically the sum of the </t>
        </r>
        <r>
          <rPr>
            <b/>
            <i/>
            <sz val="9"/>
            <color indexed="81"/>
            <rFont val="Tahoma"/>
            <family val="2"/>
          </rPr>
          <t>k</t>
        </r>
        <r>
          <rPr>
            <b/>
            <sz val="9"/>
            <color indexed="81"/>
            <rFont val="Tahoma"/>
            <family val="2"/>
          </rPr>
          <t>=1 uncertainties of the restraint, though in rare cases the RSS value may be appropriate.</t>
        </r>
      </text>
    </comment>
    <comment ref="E3" authorId="0" shapeId="0" xr:uid="{D0BA331C-AF9A-4F49-BF84-979EA681F035}">
      <text>
        <r>
          <rPr>
            <b/>
            <sz val="9"/>
            <color indexed="81"/>
            <rFont val="Tahoma"/>
            <family val="2"/>
          </rPr>
          <t>The "Sensitivity used for Series 1" will typically be the average sensitivity for Series 1 from the Mass Code report, but when no sensitivity weight is used, e.g., automated comparators, will be the sensitivity value entered for the comparator used.</t>
        </r>
      </text>
    </comment>
    <comment ref="F3" authorId="1" shapeId="0" xr:uid="{1139D5B7-E7D7-4FE1-81E1-8D148FEA8F2C}">
      <text>
        <r>
          <rPr>
            <b/>
            <sz val="9"/>
            <color indexed="81"/>
            <rFont val="Tahoma"/>
            <family val="2"/>
          </rPr>
          <t>This value will typically be equal to the sensitivity used unless there is a known uncorrected sensitivity bias.
Variations in sensitivity are measured in the within process standard deviation.</t>
        </r>
      </text>
    </comment>
    <comment ref="G3" authorId="1" shapeId="0" xr:uid="{D68C7899-CD69-40F7-83FC-1E7F04BCA0ED}">
      <text>
        <r>
          <rPr>
            <b/>
            <sz val="9"/>
            <color indexed="81"/>
            <rFont val="Tahoma"/>
            <family val="2"/>
          </rPr>
          <t>This value will typically be equal to the sensitivity used unless there is a known uncorrected sensitivity bias.
Variations in sensitivity are measured in the within process standard deviation.</t>
        </r>
      </text>
    </comment>
    <comment ref="H3" authorId="0" shapeId="0" xr:uid="{C75DE6D9-D66E-497A-B132-115D91FEF52F}">
      <text>
        <r>
          <rPr>
            <b/>
            <sz val="9"/>
            <color indexed="81"/>
            <rFont val="Tahoma"/>
            <family val="2"/>
          </rPr>
          <t>From Mass Code report for Series 1.</t>
        </r>
      </text>
    </comment>
    <comment ref="I3" authorId="0" shapeId="0" xr:uid="{37669AE6-EB3C-4F61-A990-E15C2C875D0C}">
      <text>
        <r>
          <rPr>
            <b/>
            <sz val="9"/>
            <color indexed="81"/>
            <rFont val="Tahoma"/>
            <family val="2"/>
          </rPr>
          <t>From Mass Code report for Series 1.</t>
        </r>
        <r>
          <rPr>
            <sz val="9"/>
            <color indexed="81"/>
            <rFont val="Tahoma"/>
            <family val="2"/>
          </rPr>
          <t xml:space="preserve">
</t>
        </r>
      </text>
    </comment>
    <comment ref="J3" authorId="0" shapeId="0" xr:uid="{80526D1C-B1A5-44B3-8BD2-2072236DFED0}">
      <text>
        <r>
          <rPr>
            <b/>
            <sz val="9"/>
            <color indexed="81"/>
            <rFont val="Tahoma"/>
            <family val="2"/>
          </rPr>
          <t>This value is the combined uncertainty (k=1) for Series 1 and includes the uncertainty of the: restraints, sensitivity error, CCE of the restraint and 
u²abc.</t>
        </r>
        <r>
          <rPr>
            <sz val="9"/>
            <color indexed="81"/>
            <rFont val="Tahoma"/>
            <family val="2"/>
          </rPr>
          <t xml:space="preserve">
</t>
        </r>
      </text>
    </comment>
    <comment ref="L3" authorId="0" shapeId="0" xr:uid="{E0941E1B-CA90-48CB-8304-60FC19DF9D9B}">
      <text>
        <r>
          <rPr>
            <b/>
            <sz val="9"/>
            <color indexed="81"/>
            <rFont val="Tahoma"/>
            <family val="2"/>
          </rPr>
          <t>10 % of the CCE is used as described in guidance from EURAMET cg-19, Guidelines on the determination of uncertainty in gravimetric volume calibration version 2.1, paragraph 5.3.6.
The temperature displayed in the cell above is the  temperature entered in U3.</t>
        </r>
        <r>
          <rPr>
            <sz val="9"/>
            <color indexed="81"/>
            <rFont val="Tahoma"/>
            <family val="2"/>
          </rPr>
          <t xml:space="preserve">
</t>
        </r>
      </text>
    </comment>
    <comment ref="M3" authorId="0" shapeId="0" xr:uid="{7504AC9D-7C5E-4540-BCBF-00EB7986CDBE}">
      <text>
        <r>
          <rPr>
            <b/>
            <sz val="9"/>
            <color indexed="81"/>
            <rFont val="Tahoma"/>
            <family val="2"/>
          </rPr>
          <t>Effective density of the restraint.</t>
        </r>
        <r>
          <rPr>
            <sz val="9"/>
            <color indexed="81"/>
            <rFont val="Tahoma"/>
            <family val="2"/>
          </rPr>
          <t xml:space="preserve">
</t>
        </r>
      </text>
    </comment>
    <comment ref="N3" authorId="0" shapeId="0" xr:uid="{89761C65-EBB1-41ED-9D98-44D59CB97316}">
      <text>
        <r>
          <rPr>
            <b/>
            <sz val="9"/>
            <color indexed="81"/>
            <rFont val="Tahoma"/>
            <family val="2"/>
          </rPr>
          <t>Uncertainty of the density of the restraint.</t>
        </r>
      </text>
    </comment>
    <comment ref="O3" authorId="0" shapeId="0" xr:uid="{8184E25B-527D-45AB-A463-EDA09B4E3E6B}">
      <text>
        <r>
          <rPr>
            <b/>
            <sz val="9"/>
            <color indexed="81"/>
            <rFont val="Tahoma"/>
            <family val="2"/>
          </rPr>
          <t>Uncertainty of the ability to measure the air temperature.  Though not necessarily correct because of the difficulties accurately measuring air temperature, this value is typically the uncertainty of the thermometer used for that purpose during Series 1.</t>
        </r>
        <r>
          <rPr>
            <sz val="9"/>
            <color indexed="81"/>
            <rFont val="Tahoma"/>
            <family val="2"/>
          </rPr>
          <t xml:space="preserve">
</t>
        </r>
      </text>
    </comment>
    <comment ref="P3" authorId="0" shapeId="0" xr:uid="{0424870A-72F9-40BF-976E-748F005832F7}">
      <text>
        <r>
          <rPr>
            <b/>
            <sz val="9"/>
            <color indexed="81"/>
            <rFont val="Tahoma"/>
            <family val="2"/>
          </rPr>
          <t>The uncertianty of the Relative Humidity measurement during Series 1.</t>
        </r>
        <r>
          <rPr>
            <sz val="9"/>
            <color indexed="81"/>
            <rFont val="Tahoma"/>
            <family val="2"/>
          </rPr>
          <t xml:space="preserve">
</t>
        </r>
      </text>
    </comment>
    <comment ref="Q3" authorId="0" shapeId="0" xr:uid="{719A4167-2ADD-44C2-8EEC-5B09B2303718}">
      <text>
        <r>
          <rPr>
            <b/>
            <sz val="9"/>
            <color indexed="81"/>
            <rFont val="Tahoma"/>
            <family val="2"/>
          </rPr>
          <t>Uncertainty of the barometer used to measure the barometric pressure.  This assumes that there is no elevation offset in the pressure measurement; the barometer is at the height of the measurements performed.</t>
        </r>
      </text>
    </comment>
    <comment ref="S3" authorId="0" shapeId="0" xr:uid="{8976B5BC-AFB8-4B31-A162-9A0800EE7302}">
      <text>
        <r>
          <rPr>
            <b/>
            <sz val="9"/>
            <color indexed="81"/>
            <rFont val="Tahoma"/>
            <family val="2"/>
          </rPr>
          <t>Enter the actual calculated air density present during Series 1.</t>
        </r>
      </text>
    </comment>
    <comment ref="T3" authorId="0" shapeId="0" xr:uid="{22258940-50EB-4AE7-A8EE-6E2FC5D58231}">
      <text>
        <r>
          <rPr>
            <b/>
            <sz val="9"/>
            <color indexed="81"/>
            <rFont val="Tahoma"/>
            <family val="2"/>
          </rPr>
          <t>This value comes from the calibration certificate for the restraint artifacts.  If the restraints were not calibrated together so that the pressures were equal, use the BP from the certificates that deviates the most from Normal air density.</t>
        </r>
      </text>
    </comment>
    <comment ref="U3" authorId="0" shapeId="0" xr:uid="{CC50123B-06F5-46E4-A4A7-E8C27B2F56B2}">
      <text>
        <r>
          <rPr>
            <b/>
            <sz val="9"/>
            <color indexed="81"/>
            <rFont val="Tahoma"/>
            <family val="2"/>
          </rPr>
          <t>This deviation value is based on the temperature of the mass standards during Series 1 measurements.</t>
        </r>
        <r>
          <rPr>
            <sz val="9"/>
            <color indexed="81"/>
            <rFont val="Tahoma"/>
            <family val="2"/>
          </rPr>
          <t xml:space="preserve">
</t>
        </r>
      </text>
    </comment>
    <comment ref="V3" authorId="0" shapeId="0" xr:uid="{2D2647AE-A8CD-4CF1-8A8E-30614EAD6AEF}">
      <text>
        <r>
          <rPr>
            <b/>
            <sz val="9"/>
            <color indexed="81"/>
            <rFont val="Tahoma"/>
            <family val="2"/>
          </rPr>
          <t>Based on the material of the restraint.  The effective CCE may be used if materials differ.</t>
        </r>
        <r>
          <rPr>
            <sz val="9"/>
            <color indexed="81"/>
            <rFont val="Tahoma"/>
            <family val="2"/>
          </rPr>
          <t xml:space="preserve">
</t>
        </r>
      </text>
    </comment>
    <comment ref="X3" authorId="0" shapeId="0" xr:uid="{42E66319-20CE-4BC8-8CE4-ACCA13195B64}">
      <text>
        <r>
          <rPr>
            <b/>
            <sz val="9"/>
            <color indexed="81"/>
            <rFont val="Tahoma"/>
            <family val="2"/>
          </rPr>
          <t>u_Sens_R:
Calculated sensitivity uncertainty to be included in the combined uncetainty.
(MAX(ABS(Max_Sens_R-Avg_Sens_R),ABS(Min_Sens_R-Avg_Sens_R)))/(SQRT(3))*(MaxAi_R-MinAi_R)</t>
        </r>
      </text>
    </comment>
    <comment ref="A4" authorId="0" shapeId="0" xr:uid="{69BF8941-00B7-4A24-91FA-4A11BA6228D6}">
      <text>
        <r>
          <rPr>
            <b/>
            <sz val="9"/>
            <color indexed="81"/>
            <rFont val="Tahoma"/>
            <family val="2"/>
          </rPr>
          <t>Select from the drop down list below the tolerance classification to which this weight set is to be evaluated.</t>
        </r>
        <r>
          <rPr>
            <sz val="9"/>
            <color indexed="81"/>
            <rFont val="Tahoma"/>
            <family val="2"/>
          </rPr>
          <t xml:space="preserve">
</t>
        </r>
      </text>
    </comment>
    <comment ref="B7" authorId="1" shapeId="0" xr:uid="{5CB9B2D7-64B0-4E50-8A31-C5DBDF847DF9}">
      <text>
        <r>
          <rPr>
            <b/>
            <sz val="9"/>
            <color indexed="81"/>
            <rFont val="Tahoma"/>
            <family val="2"/>
          </rPr>
          <t>Enter the tolerance for the weight set being calibrated.</t>
        </r>
      </text>
    </comment>
    <comment ref="D7" authorId="1" shapeId="0" xr:uid="{1BBBFC5B-63B3-4ADB-9662-C58161046CE8}">
      <text>
        <r>
          <rPr>
            <b/>
            <sz val="10"/>
            <color indexed="81"/>
            <rFont val="Tahoma"/>
            <family val="2"/>
          </rPr>
          <t>This uncertainty component is the value of the uncertainty of the restraint applied proportionately to the nominal value of the unknown.  
HINT:  For nomnal X values less than the restraint, the value will be proportionately less than the uncertainty of the restraint. 
For nominal X values larger than the restraint, this value will be proportionately larger than the uncertainty of the restraint.</t>
        </r>
      </text>
    </comment>
    <comment ref="E7" authorId="1" shapeId="0" xr:uid="{E678591B-1548-43A5-9320-F02D02CB08A0}">
      <text>
        <r>
          <rPr>
            <b/>
            <sz val="9"/>
            <color indexed="81"/>
            <rFont val="Tahoma"/>
            <family val="2"/>
          </rPr>
          <t>The Type A values will come from the mass code report for each nomnal mass.</t>
        </r>
      </text>
    </comment>
    <comment ref="F7" authorId="1" shapeId="0" xr:uid="{EDB6057A-48B4-46EA-B7F4-884487313A9C}">
      <text>
        <r>
          <rPr>
            <b/>
            <sz val="9"/>
            <color indexed="81"/>
            <rFont val="Tahoma"/>
            <family val="2"/>
          </rPr>
          <t xml:space="preserve">This value is the RSS of columns D and E for each nominal X value.
</t>
        </r>
      </text>
    </comment>
    <comment ref="H7" authorId="1" shapeId="0" xr:uid="{B205B09C-0BFD-4B86-9C21-9403C18D6DA5}">
      <text>
        <r>
          <rPr>
            <b/>
            <sz val="9"/>
            <color indexed="81"/>
            <rFont val="Tahoma"/>
            <family val="2"/>
          </rPr>
          <t>The U²(ABC) is calculated as a variance because under some conditions it may actually decrease the uncertainty of the measurent result slightly and would thus be a negative value.  As the square root of a negative number is an Imaginary number, the only way to utilize this component in normal mathematical equations is to keep it as a variance.  It will be combined with variances of the rest of the uncertainty components associated with X.
The u²(ABC) value calculated for the unknown weight is based on the standard conditions established by OIML D28 as the internal calculations of the Mass Code software do all calculations of the mass values relative to standard conditions: 
Rho X: 8000 kg/m³, 
Temperature: 20 °C,
Rho Air: 1.2 kg/m³.</t>
        </r>
      </text>
    </comment>
    <comment ref="I7" authorId="1" shapeId="0" xr:uid="{E84509E8-9813-4E8E-ACDF-E22594CDD915}">
      <text>
        <r>
          <rPr>
            <b/>
            <sz val="9"/>
            <color indexed="81"/>
            <rFont val="Tahoma"/>
            <family val="2"/>
          </rPr>
          <t>The average sensitivity for each X will come from the mass code report and will be the calculated average of all the MC calculated sensitivity values of each series.  It may be different than the average sensitivity used for the mass code solutions.</t>
        </r>
      </text>
    </comment>
    <comment ref="J7" authorId="1" shapeId="0" xr:uid="{D7454234-328E-4C4E-AC5D-D6FA13A7B1AA}">
      <text>
        <r>
          <rPr>
            <b/>
            <sz val="9"/>
            <color indexed="81"/>
            <rFont val="Tahoma"/>
            <family val="2"/>
          </rPr>
          <t>From the mass code report for the series in which the artifact is assigned a value.
Variations in sensitivity may be also measured in the within process standard deviation.</t>
        </r>
      </text>
    </comment>
    <comment ref="K7" authorId="1" shapeId="0" xr:uid="{DFD9E329-FB3E-4AB2-AC8E-C671C15611D0}">
      <text>
        <r>
          <rPr>
            <b/>
            <sz val="9"/>
            <color indexed="81"/>
            <rFont val="Tahoma"/>
            <family val="2"/>
          </rPr>
          <t>From the mass code report for the series in which the artifact is assigned a value.
Variations in sensitivity may be also measured in the within process standard deviation.</t>
        </r>
      </text>
    </comment>
    <comment ref="L7" authorId="1" shapeId="0" xr:uid="{D8286212-3A92-4B69-A2DF-C38DF6289AEC}">
      <text>
        <r>
          <rPr>
            <b/>
            <sz val="9"/>
            <color indexed="81"/>
            <rFont val="Tahoma"/>
            <family val="2"/>
          </rPr>
          <t>The calculated sensitivity error uncertainty contribution for X.
Calculations are based on the deviation of the sensitivity during the series from the average, multiplied by the difference limits set by the tolerance.</t>
        </r>
      </text>
    </comment>
    <comment ref="M7" authorId="1" shapeId="0" xr:uid="{151620EF-4C48-40CA-82B8-8624C37EB88A}">
      <text>
        <r>
          <rPr>
            <b/>
            <sz val="9"/>
            <color indexed="81"/>
            <rFont val="Tahoma"/>
            <family val="2"/>
          </rPr>
          <t xml:space="preserve">Enter the density value for X entered in the MC input file for the comparisons.
Entered values must be </t>
        </r>
        <r>
          <rPr>
            <b/>
            <u/>
            <sz val="9"/>
            <color indexed="81"/>
            <rFont val="Tahoma"/>
            <family val="2"/>
          </rPr>
          <t>between</t>
        </r>
        <r>
          <rPr>
            <b/>
            <sz val="9"/>
            <color indexed="81"/>
            <rFont val="Tahoma"/>
            <family val="2"/>
          </rPr>
          <t>:
2.6 and 2.8 g/cm³, or
7.8 and 8.05 g/cm³, or
8.3 and 8.6 g/cm³, or
16.5 and 16.8 g/cm³
to correctly generate the CCE value.</t>
        </r>
      </text>
    </comment>
    <comment ref="N7" authorId="1" shapeId="0" xr:uid="{0BAFA462-4F14-486B-806C-41EBB5BED4A9}">
      <text>
        <r>
          <rPr>
            <b/>
            <sz val="9"/>
            <color indexed="81"/>
            <rFont val="Tahoma"/>
            <family val="2"/>
          </rPr>
          <t xml:space="preserve">The estimated uncertainty of the entered density value for X. The default 0.07 g/cm³ value is the </t>
        </r>
        <r>
          <rPr>
            <b/>
            <i/>
            <sz val="9"/>
            <color indexed="81"/>
            <rFont val="Tahoma"/>
            <family val="2"/>
          </rPr>
          <t>k</t>
        </r>
        <r>
          <rPr>
            <b/>
            <sz val="9"/>
            <color indexed="81"/>
            <rFont val="Tahoma"/>
            <family val="2"/>
          </rPr>
          <t>=1 portion of the density uncertainty given in OIML R111.  If the density is known to a better uncertainty use that uncertiainty value.  Most U.S. weight manufacturers believe that the uncertainty of thier assumed density is 0.025 g/cm³ (</t>
        </r>
        <r>
          <rPr>
            <b/>
            <i/>
            <sz val="9"/>
            <color indexed="81"/>
            <rFont val="Tahoma"/>
            <family val="2"/>
          </rPr>
          <t>k</t>
        </r>
        <r>
          <rPr>
            <b/>
            <sz val="9"/>
            <color indexed="81"/>
            <rFont val="Tahoma"/>
            <family val="2"/>
          </rPr>
          <t>=1)</t>
        </r>
      </text>
    </comment>
    <comment ref="O7" authorId="1" shapeId="0" xr:uid="{0CF5E5A8-ACF5-4AF0-8257-8AA58771280B}">
      <text>
        <r>
          <rPr>
            <b/>
            <sz val="9"/>
            <color indexed="81"/>
            <rFont val="Tahoma"/>
            <family val="2"/>
          </rPr>
          <t>The uncertainty of the air temperature in which the measurements are performed.  Though not completely correct because of the difficulty of measuring air temperature, the value used is tyically the calibration uncertainty of the thermometer used to measure air temperature.</t>
        </r>
      </text>
    </comment>
    <comment ref="P7" authorId="1" shapeId="0" xr:uid="{C9ADC278-5FAF-4FB9-9093-E4040BDC4759}">
      <text>
        <r>
          <rPr>
            <b/>
            <sz val="9"/>
            <color indexed="81"/>
            <rFont val="Tahoma"/>
            <family val="2"/>
          </rPr>
          <t>Unertainty of the relative humidity measurement of the air surrounding the comparison measurements.  Typically the value used will be the uncertainty of the calibration of the hygrometer.</t>
        </r>
      </text>
    </comment>
    <comment ref="Q7" authorId="1" shapeId="0" xr:uid="{0F33F92A-D2BF-4C73-9F76-1E7DCC203766}">
      <text>
        <r>
          <rPr>
            <b/>
            <sz val="9"/>
            <color indexed="81"/>
            <rFont val="Tahoma"/>
            <family val="2"/>
          </rPr>
          <t>Unertainty of the barometric pressure measurement of the air surrounding the comparison measurements.  Typically the value used will be the uncertainty of the calibration of the barometer.</t>
        </r>
      </text>
    </comment>
    <comment ref="R7" authorId="1" shapeId="0" xr:uid="{68ED02E4-0698-451D-B493-477621EE6AC7}">
      <text>
        <r>
          <rPr>
            <b/>
            <sz val="9"/>
            <color indexed="81"/>
            <rFont val="Tahoma"/>
            <family val="2"/>
          </rPr>
          <t>Enter the value of the actual calculated air density during the series for that nominal value.</t>
        </r>
      </text>
    </comment>
    <comment ref="S7" authorId="1" shapeId="0" xr:uid="{07BD7775-1B50-4D1C-91AB-DC2978FE1BD9}">
      <text>
        <r>
          <rPr>
            <b/>
            <sz val="9"/>
            <color indexed="81"/>
            <rFont val="Tahoma"/>
            <family val="2"/>
          </rPr>
          <t>The effect of this component on the mass uncertainty is negligible, but is shown here to demonstrate that the effect was considered.
Follow the guidance for this component given in the 2007 Air Density paper.</t>
        </r>
      </text>
    </comment>
    <comment ref="T7" authorId="1" shapeId="0" xr:uid="{05B934FD-F978-4FFA-8FC4-726DAE783EF7}">
      <text>
        <r>
          <rPr>
            <b/>
            <sz val="9"/>
            <color indexed="81"/>
            <rFont val="Tahoma"/>
            <family val="2"/>
          </rPr>
          <t>The CCE shown is based on the density entered in column M.
It is assumed that Mass Code will NOT be used to calibrate Brass weights which have a density of 8.3909 g/cm³ and CCE of 0.000054/°C.
Entering 8.3909 will return the CCE of Nichrome.</t>
        </r>
      </text>
    </comment>
    <comment ref="V7" authorId="1" shapeId="0" xr:uid="{4A83E693-0C8E-42F2-8E18-2BD3F9891E8B}">
      <text>
        <r>
          <rPr>
            <b/>
            <sz val="9"/>
            <color indexed="81"/>
            <rFont val="Tahoma"/>
            <family val="2"/>
          </rPr>
          <t xml:space="preserve">10 % of the CCE is used as described in guidance from EURAMET cg-19, Guidelines on the determination of uncertainty in gravimetric volume calibration version 2.1, paragraph 5.3.6.
The temperature displayed in this cell will be the average of all temperature deviations in cells U8:U43.
</t>
        </r>
      </text>
    </comment>
    <comment ref="W7" authorId="1" shapeId="0" xr:uid="{57B91D82-D061-4EE3-B3A2-488803CF4F32}">
      <text>
        <r>
          <rPr>
            <b/>
            <sz val="9"/>
            <color indexed="81"/>
            <rFont val="Tahoma"/>
            <family val="2"/>
          </rPr>
          <t>This column shows the calculated k=1 combined uncertianty for all components included in this uncertainty budget.
NOTE: Variances are already squared and are included as shown.
Included are:
Proportional Uncertainty from Series 1,
Uncertainty due to Sensitivity errors,
Output uncertainty from this Series,
Uncertainty due to Temperature Deviation from 20 °C reference,
Variance of u²abc.</t>
        </r>
      </text>
    </comment>
    <comment ref="X7" authorId="1" shapeId="0" xr:uid="{79A5CBC5-91E8-4A74-B0C4-0DFD15DBF3FA}">
      <text>
        <r>
          <rPr>
            <b/>
            <sz val="9"/>
            <color indexed="81"/>
            <rFont val="Tahoma"/>
            <family val="2"/>
          </rPr>
          <t xml:space="preserve">Enter the appropriate </t>
        </r>
        <r>
          <rPr>
            <b/>
            <i/>
            <sz val="9"/>
            <color indexed="81"/>
            <rFont val="Tahoma"/>
            <family val="2"/>
          </rPr>
          <t>k</t>
        </r>
        <r>
          <rPr>
            <b/>
            <sz val="9"/>
            <color indexed="81"/>
            <rFont val="Tahoma"/>
            <family val="2"/>
          </rPr>
          <t xml:space="preserve"> value based on the degrees of freedom associated with this nomal X value.</t>
        </r>
      </text>
    </comment>
    <comment ref="Y7" authorId="1" shapeId="0" xr:uid="{D35240E5-ACDD-475F-8BE6-C853EAF71846}">
      <text>
        <r>
          <rPr>
            <b/>
            <i/>
            <sz val="9"/>
            <color indexed="81"/>
            <rFont val="Tahoma"/>
            <family val="2"/>
          </rPr>
          <t>k</t>
        </r>
        <r>
          <rPr>
            <b/>
            <sz val="9"/>
            <color indexed="81"/>
            <rFont val="Tahoma"/>
            <family val="2"/>
          </rPr>
          <t xml:space="preserve">=2 is shown in the heading but each u(c) 
is expanded by multiplying the entered k value for that nominal X . 
</t>
        </r>
        <r>
          <rPr>
            <sz val="9"/>
            <color indexed="81"/>
            <rFont val="Tahoma"/>
            <family val="2"/>
          </rPr>
          <t>(There is no way to easily show the actual k value for each nominal.)</t>
        </r>
      </text>
    </comment>
    <comment ref="Z7" authorId="1" shapeId="0" xr:uid="{3D9D0E62-43FF-4E85-9FE7-DCCD1217A943}">
      <text>
        <r>
          <rPr>
            <b/>
            <sz val="9"/>
            <color indexed="81"/>
            <rFont val="Tahoma"/>
            <family val="2"/>
          </rPr>
          <t>The Pn value is calculated based on the tolerance entered in column B.  If the Pn cell background is RED, the uncertainty exceeds the Tolerance/3 limit.</t>
        </r>
        <r>
          <rPr>
            <sz val="9"/>
            <color indexed="81"/>
            <rFont val="Tahoma"/>
            <family val="2"/>
          </rPr>
          <t xml:space="preserve">
</t>
        </r>
      </text>
    </comment>
    <comment ref="AA7" authorId="1" shapeId="0" xr:uid="{FA28DD96-964B-4F96-A2DD-1FE994326B2B}">
      <text>
        <r>
          <rPr>
            <b/>
            <sz val="9"/>
            <color indexed="81"/>
            <rFont val="Tahoma"/>
            <family val="2"/>
          </rPr>
          <t>The Nominal value is shown in this column for convenience.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Miller, Val R. (Fed)</author>
    <author>Miller, Val R.</author>
  </authors>
  <commentList>
    <comment ref="A3" authorId="0" shapeId="0" xr:uid="{FFA4A042-C78C-4AF8-BD01-17B0C5E0FE1D}">
      <text>
        <r>
          <rPr>
            <b/>
            <sz val="9"/>
            <color indexed="81"/>
            <rFont val="Tahoma"/>
            <family val="2"/>
          </rPr>
          <t>"Volume of Restraint" is the sum of all artifact volumes in the restraint.</t>
        </r>
      </text>
    </comment>
    <comment ref="B3" authorId="0" shapeId="0" xr:uid="{FE9727F4-0C6F-4A6E-B6E2-F3C2679F2654}">
      <text>
        <r>
          <rPr>
            <b/>
            <sz val="9"/>
            <color indexed="81"/>
            <rFont val="Tahoma"/>
            <family val="2"/>
          </rPr>
          <t>The "Nominal of Restraint"  is the combined nominal of the restraint, as established in the design.</t>
        </r>
      </text>
    </comment>
    <comment ref="D3" authorId="0" shapeId="0" xr:uid="{361D7FCB-6FC3-45DC-BFBA-D3BE8401B204}">
      <text>
        <r>
          <rPr>
            <b/>
            <sz val="9"/>
            <color indexed="81"/>
            <rFont val="Tahoma"/>
            <family val="2"/>
          </rPr>
          <t xml:space="preserve">"Cal Cert U of Starting Restraint" is typically the sum of the </t>
        </r>
        <r>
          <rPr>
            <b/>
            <i/>
            <sz val="9"/>
            <color indexed="81"/>
            <rFont val="Tahoma"/>
            <family val="2"/>
          </rPr>
          <t>k</t>
        </r>
        <r>
          <rPr>
            <b/>
            <sz val="9"/>
            <color indexed="81"/>
            <rFont val="Tahoma"/>
            <family val="2"/>
          </rPr>
          <t>=1 uncertainties of the restraint, though in rare cases the RSS value may be appropriate.</t>
        </r>
      </text>
    </comment>
    <comment ref="E3" authorId="0" shapeId="0" xr:uid="{3AED8FBC-AB71-4F5A-A05B-5EB78339147B}">
      <text>
        <r>
          <rPr>
            <b/>
            <sz val="9"/>
            <color indexed="81"/>
            <rFont val="Tahoma"/>
            <family val="2"/>
          </rPr>
          <t>The "Sensitivity used for Series 1" will typically be the average sensitivity for Series 1 from the Mass Code report, but when no sensitivity weight is used, e.g., automated comparators, will be the sensitivity value entered for the comparator used.</t>
        </r>
      </text>
    </comment>
    <comment ref="F3" authorId="1" shapeId="0" xr:uid="{7E21D579-EEEA-4001-9852-49D0947866D3}">
      <text>
        <r>
          <rPr>
            <b/>
            <sz val="9"/>
            <color indexed="81"/>
            <rFont val="Tahoma"/>
            <family val="2"/>
          </rPr>
          <t>This value will typically be equal to the sensitivity used unless there is a known uncorrected sensitivity bias.
Variations in sensitivity are measured in the within process standard deviation.</t>
        </r>
      </text>
    </comment>
    <comment ref="G3" authorId="1" shapeId="0" xr:uid="{2F2BEF7F-D6D8-4CA2-BCE2-0D8FD141E409}">
      <text>
        <r>
          <rPr>
            <b/>
            <sz val="9"/>
            <color indexed="81"/>
            <rFont val="Tahoma"/>
            <family val="2"/>
          </rPr>
          <t>This value will typically be equal to the sensitivity used unless there is a known uncorrected sensitivity bias.
Variations in sensitivity are measured in the within process standard deviation.</t>
        </r>
      </text>
    </comment>
    <comment ref="H3" authorId="0" shapeId="0" xr:uid="{FEB8E603-41DC-4512-98B8-7975B91A6FE0}">
      <text>
        <r>
          <rPr>
            <b/>
            <sz val="9"/>
            <color indexed="81"/>
            <rFont val="Tahoma"/>
            <family val="2"/>
          </rPr>
          <t>From Mass Code report for Series 1.</t>
        </r>
      </text>
    </comment>
    <comment ref="I3" authorId="0" shapeId="0" xr:uid="{5D9C4A51-0D85-4BFC-A0BF-7ECF7BFB0B55}">
      <text>
        <r>
          <rPr>
            <b/>
            <sz val="9"/>
            <color indexed="81"/>
            <rFont val="Tahoma"/>
            <family val="2"/>
          </rPr>
          <t>From Mass Code report for Series 1.</t>
        </r>
        <r>
          <rPr>
            <sz val="9"/>
            <color indexed="81"/>
            <rFont val="Tahoma"/>
            <family val="2"/>
          </rPr>
          <t xml:space="preserve">
</t>
        </r>
      </text>
    </comment>
    <comment ref="L3" authorId="0" shapeId="0" xr:uid="{0B2AD86E-A56C-43EF-9999-93F9F65D7D35}">
      <text>
        <r>
          <rPr>
            <b/>
            <sz val="9"/>
            <color indexed="81"/>
            <rFont val="Tahoma"/>
            <family val="2"/>
          </rPr>
          <t xml:space="preserve">10 % of the CCE is used as described in guidance from EURAMET cg-19, Guidelines on the determination of uncertainty in gravimetric volume calibration version 2.1, paragraph 5.3.6.
The temperature displayed in the cell above is the  temperature entered in U3.
</t>
        </r>
        <r>
          <rPr>
            <sz val="9"/>
            <color indexed="81"/>
            <rFont val="Tahoma"/>
            <family val="2"/>
          </rPr>
          <t xml:space="preserve">
</t>
        </r>
      </text>
    </comment>
    <comment ref="M3" authorId="0" shapeId="0" xr:uid="{8AE54E12-B5FE-47CE-8BB9-3908754AAE82}">
      <text>
        <r>
          <rPr>
            <b/>
            <sz val="9"/>
            <color indexed="81"/>
            <rFont val="Tahoma"/>
            <family val="2"/>
          </rPr>
          <t>Effective density of the restraint.</t>
        </r>
        <r>
          <rPr>
            <sz val="9"/>
            <color indexed="81"/>
            <rFont val="Tahoma"/>
            <family val="2"/>
          </rPr>
          <t xml:space="preserve">
</t>
        </r>
      </text>
    </comment>
    <comment ref="N3" authorId="0" shapeId="0" xr:uid="{F7088806-F0A9-4266-9605-6EA3B49DB523}">
      <text>
        <r>
          <rPr>
            <b/>
            <sz val="9"/>
            <color indexed="81"/>
            <rFont val="Tahoma"/>
            <family val="2"/>
          </rPr>
          <t>Uncertainty of the density of the restraint.</t>
        </r>
      </text>
    </comment>
    <comment ref="O3" authorId="0" shapeId="0" xr:uid="{37210928-A558-4C33-B592-5EFB59769720}">
      <text>
        <r>
          <rPr>
            <b/>
            <sz val="9"/>
            <color indexed="81"/>
            <rFont val="Tahoma"/>
            <family val="2"/>
          </rPr>
          <t>Uncertainty of the ability to measure the air temperature.  Though not necessarily correct because of the difficulties accurately measuring air temperature, this value is typically the uncertainty of the thermometer used for that purpose during Series 1.</t>
        </r>
        <r>
          <rPr>
            <sz val="9"/>
            <color indexed="81"/>
            <rFont val="Tahoma"/>
            <family val="2"/>
          </rPr>
          <t xml:space="preserve">
</t>
        </r>
      </text>
    </comment>
    <comment ref="P3" authorId="0" shapeId="0" xr:uid="{98B63789-58B6-4AE6-80EA-D72EC767621F}">
      <text>
        <r>
          <rPr>
            <b/>
            <sz val="9"/>
            <color indexed="81"/>
            <rFont val="Tahoma"/>
            <family val="2"/>
          </rPr>
          <t>The uncertianty of the Relative Humidity measurement during Series 1.</t>
        </r>
        <r>
          <rPr>
            <sz val="9"/>
            <color indexed="81"/>
            <rFont val="Tahoma"/>
            <family val="2"/>
          </rPr>
          <t xml:space="preserve">
</t>
        </r>
      </text>
    </comment>
    <comment ref="Q3" authorId="0" shapeId="0" xr:uid="{718F2211-984D-4F73-8002-24D21867536E}">
      <text>
        <r>
          <rPr>
            <b/>
            <sz val="9"/>
            <color indexed="81"/>
            <rFont val="Tahoma"/>
            <family val="2"/>
          </rPr>
          <t>Uncertainty of the barometer used to measure the barometric pressure.  This assumes that there is no elevation offset in the pressure measurement; the barometer is at the height of the measurements performed.</t>
        </r>
      </text>
    </comment>
    <comment ref="S3" authorId="0" shapeId="0" xr:uid="{D209054B-458B-4D3D-8B82-875D1FC44CDD}">
      <text>
        <r>
          <rPr>
            <b/>
            <sz val="9"/>
            <color indexed="81"/>
            <rFont val="Tahoma"/>
            <family val="2"/>
          </rPr>
          <t>Enter the actual calculated air density present during Series 1.</t>
        </r>
      </text>
    </comment>
    <comment ref="T3" authorId="0" shapeId="0" xr:uid="{706202C3-6023-450E-9870-8840BA32FAA2}">
      <text>
        <r>
          <rPr>
            <b/>
            <sz val="9"/>
            <color indexed="81"/>
            <rFont val="Tahoma"/>
            <family val="2"/>
          </rPr>
          <t>This value comes from the calibration certificate for the restraint artifacts.  If the restraints were not calibrated together so that the pressures were equal, use the BP from the certificates that deviates the most from Normal air density.</t>
        </r>
      </text>
    </comment>
    <comment ref="U3" authorId="0" shapeId="0" xr:uid="{84716CF7-7496-4CA0-B0B7-C1840E091085}">
      <text>
        <r>
          <rPr>
            <b/>
            <sz val="9"/>
            <color indexed="81"/>
            <rFont val="Tahoma"/>
            <family val="2"/>
          </rPr>
          <t>This deviation value is based on the temperature of the mass standards during Series 1 measurements.</t>
        </r>
        <r>
          <rPr>
            <sz val="9"/>
            <color indexed="81"/>
            <rFont val="Tahoma"/>
            <family val="2"/>
          </rPr>
          <t xml:space="preserve">
</t>
        </r>
      </text>
    </comment>
    <comment ref="V3" authorId="0" shapeId="0" xr:uid="{B507CD29-1418-44C7-BB0A-476C55F87CE1}">
      <text>
        <r>
          <rPr>
            <b/>
            <sz val="9"/>
            <color indexed="81"/>
            <rFont val="Tahoma"/>
            <family val="2"/>
          </rPr>
          <t>Based on the material of the restraint.  The effective CCE may be used if materials differ.</t>
        </r>
        <r>
          <rPr>
            <sz val="9"/>
            <color indexed="81"/>
            <rFont val="Tahoma"/>
            <family val="2"/>
          </rPr>
          <t xml:space="preserve">
</t>
        </r>
      </text>
    </comment>
    <comment ref="X3" authorId="0" shapeId="0" xr:uid="{16BEA190-881C-475C-B4D1-A569E57FFEBA}">
      <text>
        <r>
          <rPr>
            <b/>
            <sz val="9"/>
            <color indexed="81"/>
            <rFont val="Tahoma"/>
            <family val="2"/>
          </rPr>
          <t>u_Sens_R:
Calculated sensitivity uncertainty to be included in the combined uncetainty.
(MAX(ABS(Max_Sens_R-Avg_Sens_R),ABS(Min_Sens_R-Avg_Sens_R)))/(SQRT(3))*(MaxAi_R-MinAi_R)</t>
        </r>
      </text>
    </comment>
    <comment ref="B7" authorId="1" shapeId="0" xr:uid="{8B0ABC87-878C-4BD3-9A5F-18638DF26D54}">
      <text>
        <r>
          <rPr>
            <b/>
            <sz val="9"/>
            <color indexed="81"/>
            <rFont val="Tahoma"/>
            <family val="2"/>
          </rPr>
          <t>Enter the tolerance for the weight set being calibrated.</t>
        </r>
      </text>
    </comment>
    <comment ref="D7" authorId="1" shapeId="0" xr:uid="{210EF12A-C370-4B17-B86A-DFF77FF0FAE8}">
      <text>
        <r>
          <rPr>
            <b/>
            <sz val="10"/>
            <color indexed="81"/>
            <rFont val="Tahoma"/>
            <family val="2"/>
          </rPr>
          <t>This uncertainty component is the value of the uncertainty of the restraint applied proportionately to the nominal value of the unknown.  
HINT:  For nomnal X values less than the restraint, the value will be proportionately less than the uncertainty of the restraint. 
For nominal X values larger than the restraint, this value will be proportionately larger than the uncertainty of the restraint.</t>
        </r>
      </text>
    </comment>
    <comment ref="E7" authorId="1" shapeId="0" xr:uid="{1075E85F-9000-440B-AF86-8D42D3D0BB7E}">
      <text>
        <r>
          <rPr>
            <b/>
            <sz val="9"/>
            <color indexed="81"/>
            <rFont val="Tahoma"/>
            <family val="2"/>
          </rPr>
          <t>The Type A values will come from the mass code report for each nomnal mass.</t>
        </r>
      </text>
    </comment>
    <comment ref="F7" authorId="1" shapeId="0" xr:uid="{AA818D47-AD26-43A8-9985-EAE0635549BA}">
      <text>
        <r>
          <rPr>
            <b/>
            <sz val="9"/>
            <color indexed="81"/>
            <rFont val="Tahoma"/>
            <family val="2"/>
          </rPr>
          <t xml:space="preserve">This value is the RSS of columns D and E for each nominal X value.
</t>
        </r>
      </text>
    </comment>
    <comment ref="H7" authorId="1" shapeId="0" xr:uid="{97802E55-5279-4B88-875B-83C6DD23E827}">
      <text>
        <r>
          <rPr>
            <b/>
            <sz val="9"/>
            <color indexed="81"/>
            <rFont val="Tahoma"/>
            <family val="2"/>
          </rPr>
          <t>The U²(ABC) is calculated as a variance because under some conditions it may actually decrease the uncertainty of the measurent result slightly and would thus be a negative value.  As the square root of a negative number is an Imaginary number, the only way to utilize this component in normal mathematical equations is to keep it as a variance.  It will be combined with variances of the rest of the uncertainty components associated with X.
The u²(ABC) value calculated for the unknown weight is based on the standard conditions established by OIML D28 as the internal calculations of the Mass Code software do all calculations of the mass values relative to standard conditions: 
Rho X: 8000 kg/m³, 
Temperature: 20 °C,
Rho Air: 1.2 kg/m³.</t>
        </r>
      </text>
    </comment>
    <comment ref="I7" authorId="1" shapeId="0" xr:uid="{E8D8C097-6C43-4CB6-BDE4-B9328625DB31}">
      <text>
        <r>
          <rPr>
            <b/>
            <sz val="9"/>
            <color indexed="81"/>
            <rFont val="Tahoma"/>
            <family val="2"/>
          </rPr>
          <t>The average sensitivity for each X will come from the mass code report and will be the calculated average of all the MC calculated sensitivity values of each series.  It may be different than the average sensitivity used for the mass code solutions.</t>
        </r>
      </text>
    </comment>
    <comment ref="J7" authorId="1" shapeId="0" xr:uid="{B9230214-BDBF-41B0-AAF9-F108DF8029D3}">
      <text>
        <r>
          <rPr>
            <b/>
            <sz val="9"/>
            <color indexed="81"/>
            <rFont val="Tahoma"/>
            <family val="2"/>
          </rPr>
          <t>From the mass code report for the series in which the artifact is assigned a value.
Variations in sensitivity may be also measured in the within process standard deviation.</t>
        </r>
      </text>
    </comment>
    <comment ref="K7" authorId="1" shapeId="0" xr:uid="{5F5AEC55-AC45-47BB-908A-830C19A9006C}">
      <text>
        <r>
          <rPr>
            <b/>
            <sz val="9"/>
            <color indexed="81"/>
            <rFont val="Tahoma"/>
            <family val="2"/>
          </rPr>
          <t>From the mass code report for the series in which the artifact is assigned a value.
Variations in sensitivity may be also measured in the within process standard deviation.</t>
        </r>
      </text>
    </comment>
    <comment ref="L7" authorId="1" shapeId="0" xr:uid="{6ABA83DD-7BEE-42BF-8483-D6F71F5836B7}">
      <text>
        <r>
          <rPr>
            <b/>
            <sz val="9"/>
            <color indexed="81"/>
            <rFont val="Tahoma"/>
            <family val="2"/>
          </rPr>
          <t>The calculated sensitivity error uncertainty contribution for X.
Calculations are based on the deviation of the sensitivity during the series from the average, multiplied by the difference limits set by the tolerance.</t>
        </r>
      </text>
    </comment>
    <comment ref="M7" authorId="1" shapeId="0" xr:uid="{B41C4F1A-0AE7-4001-AB39-CA9150255486}">
      <text>
        <r>
          <rPr>
            <b/>
            <sz val="9"/>
            <color indexed="81"/>
            <rFont val="Tahoma"/>
            <family val="2"/>
          </rPr>
          <t xml:space="preserve">Enter the density value for X entered in the MC input file for the comparisons.
Entered values must be </t>
        </r>
        <r>
          <rPr>
            <b/>
            <u/>
            <sz val="9"/>
            <color indexed="81"/>
            <rFont val="Tahoma"/>
            <family val="2"/>
          </rPr>
          <t>between</t>
        </r>
        <r>
          <rPr>
            <b/>
            <sz val="9"/>
            <color indexed="81"/>
            <rFont val="Tahoma"/>
            <family val="2"/>
          </rPr>
          <t>:
2.6 and 2.8 g/cm³, or
7.8 and 8.05 g/cm³, or
8.3 and 8.6 g/cm³, or
16.5 and 16.8 g/cm³
to correctly generate the CCE value.</t>
        </r>
      </text>
    </comment>
    <comment ref="N7" authorId="1" shapeId="0" xr:uid="{BC3DC218-75B7-4C9B-AF0E-0B2D6077F92E}">
      <text>
        <r>
          <rPr>
            <b/>
            <sz val="9"/>
            <color indexed="81"/>
            <rFont val="Tahoma"/>
            <family val="2"/>
          </rPr>
          <t xml:space="preserve">The estimated uncertainty of the entered density value for X. The default 0.07 g/cm³ value is the </t>
        </r>
        <r>
          <rPr>
            <b/>
            <i/>
            <sz val="9"/>
            <color indexed="81"/>
            <rFont val="Tahoma"/>
            <family val="2"/>
          </rPr>
          <t>k</t>
        </r>
        <r>
          <rPr>
            <b/>
            <sz val="9"/>
            <color indexed="81"/>
            <rFont val="Tahoma"/>
            <family val="2"/>
          </rPr>
          <t>=1 portion of the density uncertainty given in OIML R111.  If the density is known to a better uncertainty use that uncertiainty value.  Most U.S. weight manufacturers believe that the uncertainty of thier assumed density is 0.025 g/cm³ (</t>
        </r>
        <r>
          <rPr>
            <b/>
            <i/>
            <sz val="9"/>
            <color indexed="81"/>
            <rFont val="Tahoma"/>
            <family val="2"/>
          </rPr>
          <t>k</t>
        </r>
        <r>
          <rPr>
            <b/>
            <sz val="9"/>
            <color indexed="81"/>
            <rFont val="Tahoma"/>
            <family val="2"/>
          </rPr>
          <t>=1)</t>
        </r>
      </text>
    </comment>
    <comment ref="O7" authorId="1" shapeId="0" xr:uid="{4D4C3F60-C9A7-4F83-980B-F04A011D019E}">
      <text>
        <r>
          <rPr>
            <b/>
            <sz val="9"/>
            <color indexed="81"/>
            <rFont val="Tahoma"/>
            <family val="2"/>
          </rPr>
          <t>The uncertainty of the air temperature in which the measurements are performed.  Though not completely correct because of the difficulty of measuring air temperature, the value used is tyically the calibration uncertainty of the thermometer used to measure air temperature.</t>
        </r>
      </text>
    </comment>
    <comment ref="P7" authorId="1" shapeId="0" xr:uid="{3C79E2E5-8065-4E4D-A3E1-8D6695597C63}">
      <text>
        <r>
          <rPr>
            <b/>
            <sz val="9"/>
            <color indexed="81"/>
            <rFont val="Tahoma"/>
            <family val="2"/>
          </rPr>
          <t>Unertainty of the relative humidity measurement of the air surrounding the comparison measurements.  Typically the value used will be the uncertainty of the calibration of the hygrometer.</t>
        </r>
      </text>
    </comment>
    <comment ref="Q7" authorId="1" shapeId="0" xr:uid="{9D0C4C54-3908-4BB3-A072-2EFF0E48EC4A}">
      <text>
        <r>
          <rPr>
            <b/>
            <sz val="9"/>
            <color indexed="81"/>
            <rFont val="Tahoma"/>
            <family val="2"/>
          </rPr>
          <t>Unertainty of the barometric pressure measurement of the air surrounding the comparison measurements.  Typically the value used will be the uncertainty of the calibration of the barometer.</t>
        </r>
      </text>
    </comment>
    <comment ref="R7" authorId="1" shapeId="0" xr:uid="{F820F04A-1744-4D89-95D5-707D24C91ED6}">
      <text>
        <r>
          <rPr>
            <b/>
            <sz val="9"/>
            <color indexed="81"/>
            <rFont val="Tahoma"/>
            <family val="2"/>
          </rPr>
          <t>Enter the value of the actual calculated air density during the series for that nominal value.</t>
        </r>
      </text>
    </comment>
    <comment ref="S7" authorId="1" shapeId="0" xr:uid="{A8A002CD-51C0-4AF0-8286-3D8E2C6AB73C}">
      <text>
        <r>
          <rPr>
            <b/>
            <sz val="9"/>
            <color indexed="81"/>
            <rFont val="Tahoma"/>
            <family val="2"/>
          </rPr>
          <t>The effect of this component on the mass uncertainty is negligible, but is shown here to demonstrate that the effect was considered.
Follow the guidance for this component given in the 2007 Air Density paper.</t>
        </r>
      </text>
    </comment>
    <comment ref="T7" authorId="1" shapeId="0" xr:uid="{7A96D0C7-7B1B-498F-9477-CA0AE2466466}">
      <text>
        <r>
          <rPr>
            <b/>
            <sz val="9"/>
            <color indexed="81"/>
            <rFont val="Tahoma"/>
            <family val="2"/>
          </rPr>
          <t>The CCE shown is based on the density entered in column M.
It is assumed that Mass Code will NOT be used to calibrate Brass weights which have a density of 8.3909 g/cm³ and CCE of 0.000054/°C.
Entering 8.3909 will return the CCE of Nichrome.</t>
        </r>
      </text>
    </comment>
    <comment ref="V7" authorId="1" shapeId="0" xr:uid="{59472AA5-F4E7-48B0-8352-BDBC6BE0E6B3}">
      <text>
        <r>
          <rPr>
            <b/>
            <sz val="9"/>
            <color indexed="81"/>
            <rFont val="Tahoma"/>
            <family val="2"/>
          </rPr>
          <t xml:space="preserve">10 % of the CCE is used as described in guidance from EURAMET cg-19, Guidelines on the determination of uncertainty in gravimetric volume calibration version 2.1, paragraph 5.3.6.
The temperature displayed in this cell will be the average of all temperature deviations in cells U8:U43.
</t>
        </r>
      </text>
    </comment>
    <comment ref="W7" authorId="1" shapeId="0" xr:uid="{E8F4D504-37C7-44B8-B82C-AF47333A0E4A}">
      <text>
        <r>
          <rPr>
            <b/>
            <sz val="9"/>
            <color indexed="81"/>
            <rFont val="Tahoma"/>
            <family val="2"/>
          </rPr>
          <t>This column shows the calculated</t>
        </r>
        <r>
          <rPr>
            <b/>
            <i/>
            <sz val="9"/>
            <color indexed="81"/>
            <rFont val="Tahoma"/>
            <family val="2"/>
          </rPr>
          <t xml:space="preserve"> k</t>
        </r>
        <r>
          <rPr>
            <b/>
            <sz val="9"/>
            <color indexed="81"/>
            <rFont val="Tahoma"/>
            <family val="2"/>
          </rPr>
          <t>=1 combined uncertianty for all components included in this uncertainty budget.
NOTE: Variances are already squared and are included as shown.</t>
        </r>
        <r>
          <rPr>
            <sz val="9"/>
            <color indexed="81"/>
            <rFont val="Tahoma"/>
            <family val="2"/>
          </rPr>
          <t xml:space="preserve">
</t>
        </r>
      </text>
    </comment>
    <comment ref="X7" authorId="1" shapeId="0" xr:uid="{FA900331-A964-4813-AA53-D0CE88DFC1BF}">
      <text>
        <r>
          <rPr>
            <b/>
            <sz val="9"/>
            <color indexed="81"/>
            <rFont val="Tahoma"/>
            <family val="2"/>
          </rPr>
          <t xml:space="preserve">Enter the appropriate </t>
        </r>
        <r>
          <rPr>
            <b/>
            <i/>
            <sz val="9"/>
            <color indexed="81"/>
            <rFont val="Tahoma"/>
            <family val="2"/>
          </rPr>
          <t>k</t>
        </r>
        <r>
          <rPr>
            <b/>
            <sz val="9"/>
            <color indexed="81"/>
            <rFont val="Tahoma"/>
            <family val="2"/>
          </rPr>
          <t xml:space="preserve"> value based on the degrees of freedom associated with this nomal X value.</t>
        </r>
      </text>
    </comment>
    <comment ref="Y7" authorId="1" shapeId="0" xr:uid="{81A3EE41-1A8B-4054-82BA-6B4DDEDAE97E}">
      <text>
        <r>
          <rPr>
            <b/>
            <i/>
            <sz val="9"/>
            <color indexed="81"/>
            <rFont val="Tahoma"/>
            <family val="2"/>
          </rPr>
          <t>k</t>
        </r>
        <r>
          <rPr>
            <b/>
            <sz val="9"/>
            <color indexed="81"/>
            <rFont val="Tahoma"/>
            <family val="2"/>
          </rPr>
          <t xml:space="preserve">=2 is shown in the heading but each u(c) 
is expanded by multiplying the entered k value for that nominal X . 
</t>
        </r>
        <r>
          <rPr>
            <sz val="9"/>
            <color indexed="81"/>
            <rFont val="Tahoma"/>
            <family val="2"/>
          </rPr>
          <t>(There is no way to easily show the actual k value for each nominal.)</t>
        </r>
      </text>
    </comment>
    <comment ref="Z7" authorId="1" shapeId="0" xr:uid="{5CC2A724-3BE4-43E8-83BE-A15C468F9A27}">
      <text>
        <r>
          <rPr>
            <b/>
            <sz val="9"/>
            <color indexed="81"/>
            <rFont val="Tahoma"/>
            <family val="2"/>
          </rPr>
          <t>The Pn value is calculated based on the tolerance entered in column B.  If the Pn cell background is RED, the uncertainty exceeds the Tolerance/3 limit.</t>
        </r>
        <r>
          <rPr>
            <sz val="9"/>
            <color indexed="81"/>
            <rFont val="Tahoma"/>
            <family val="2"/>
          </rPr>
          <t xml:space="preserve">
</t>
        </r>
      </text>
    </comment>
    <comment ref="AA7" authorId="1" shapeId="0" xr:uid="{D0FE1385-C0C4-4223-9174-A1D7AE710AF3}">
      <text>
        <r>
          <rPr>
            <b/>
            <sz val="9"/>
            <color indexed="81"/>
            <rFont val="Tahoma"/>
            <family val="2"/>
          </rPr>
          <t>The Nominal value is shown in this column for convenience.</t>
        </r>
        <r>
          <rPr>
            <sz val="9"/>
            <color indexed="81"/>
            <rFont val="Tahoma"/>
            <family val="2"/>
          </rPr>
          <t xml:space="preserve">
</t>
        </r>
      </text>
    </comment>
  </commentList>
</comments>
</file>

<file path=xl/sharedStrings.xml><?xml version="1.0" encoding="utf-8"?>
<sst xmlns="http://schemas.openxmlformats.org/spreadsheetml/2006/main" count="1923" uniqueCount="181">
  <si>
    <t>Rho(R)</t>
  </si>
  <si>
    <t>Rho(a) Series 1 
(establishes ABC of Restraint)</t>
  </si>
  <si>
    <t>mg</t>
  </si>
  <si>
    <t>Nominal</t>
  </si>
  <si>
    <t>From MC report</t>
  </si>
  <si>
    <t>Max Deviation of T from 20 °C</t>
  </si>
  <si>
    <t>(°C)</t>
  </si>
  <si>
    <t>(mg/div)</t>
  </si>
  <si>
    <t>Mass error from Sensitivity error
(mg)</t>
  </si>
  <si>
    <t xml:space="preserve">Total U (Restraint) to MC </t>
  </si>
  <si>
    <t>Volume of Restraint</t>
  </si>
  <si>
    <t>Type A of series</t>
  </si>
  <si>
    <t>Cal Cert
U of Starting Restraint
(k=1)</t>
  </si>
  <si>
    <t>Maximum Sensitivity from 
Series 1</t>
  </si>
  <si>
    <t>Minimum Sensitivity from 
Series 1</t>
  </si>
  <si>
    <t>Max A(I)
MC Data
Series 1</t>
  </si>
  <si>
    <t>Min A(I)
MC Data
Series 1</t>
  </si>
  <si>
    <t>Maximum Permissible Errors for Weights  (+/- in mg)</t>
  </si>
  <si>
    <t>OIML</t>
  </si>
  <si>
    <t>NIST</t>
  </si>
  <si>
    <t>User Tolerances</t>
  </si>
  <si>
    <t>Units</t>
  </si>
  <si>
    <t>Nominal
(g)</t>
  </si>
  <si>
    <t>Not Specified</t>
  </si>
  <si>
    <t>5 000</t>
  </si>
  <si>
    <t>kg</t>
  </si>
  <si>
    <t>3 000</t>
  </si>
  <si>
    <t>2 000</t>
  </si>
  <si>
    <t>1 000</t>
  </si>
  <si>
    <t>g</t>
  </si>
  <si>
    <r>
      <rPr>
        <sz val="9"/>
        <rFont val="Calibri"/>
        <family val="2"/>
      </rPr>
      <t>µ</t>
    </r>
    <r>
      <rPr>
        <sz val="9"/>
        <rFont val="Verdana"/>
        <family val="2"/>
      </rPr>
      <t>g</t>
    </r>
  </si>
  <si>
    <t>Sensitivity used for Series 1</t>
  </si>
  <si>
    <t>(mg)</t>
  </si>
  <si>
    <t>Average Sensitivity for Series X
(mg/div)</t>
  </si>
  <si>
    <t>Maximum Sensitivity from Series X
(mg/div)</t>
  </si>
  <si>
    <t>Minimum Sensitivity from Series X
(mg/div)</t>
  </si>
  <si>
    <t>Type B for the restraint Calculated from Cell N3</t>
  </si>
  <si>
    <t>Total</t>
  </si>
  <si>
    <t>% contribution to uncertainty</t>
  </si>
  <si>
    <t>Unknown (X)</t>
  </si>
  <si>
    <t>Disclaimer</t>
  </si>
  <si>
    <t>These spreadsheets are provided as a useful approach for metrology calculations according to the SOP represented here.  However, NIST OWM or any other organization involved in their development, collectively and individually, do not warrant this spreadsheets for any specific purpose, nor do they make any representations regarding their fitness for any use or purpose whatsoever.  Each user agrees to decide if, when and how to use the spreadsheets, does so at his or her sole risk, and is responsible to suitable and applicable verification prior to use.  When using the tools provided on the NIST OWM website, you agree that you are not entitled to rely on any information generated using these worksheets.  You further agree to hold NIST OWM, and any of their partners in the creation of the tools, harmless for loss you might suffer arising out of any inaccuracies in numbers generated by the worksheets.  Under no circumstances shall NIST OWM, or any of their partners that helped create the tools, be liable for any damages, including incidental, special or consequential damages, arising from the use of these spreadsheets or an inability to use them.</t>
  </si>
  <si>
    <t>If you distribute these tools through any means other than the NIST WMD website at www.nist.gov/labmetrology, you should check the website to ensure the tool being provided is the latest version available, and provide information to users on how to check for updates and revisions to the tools.</t>
  </si>
  <si>
    <t xml:space="preserve">The yellow cells are unprotected and provide input of values that may contribute to uncertainty in the measurement.  </t>
  </si>
  <si>
    <t>Nominal of Restraint</t>
  </si>
  <si>
    <t>(g)</t>
  </si>
  <si>
    <t>The information entered at the top of the page for the restraint propogates proportionately to all other nominal values in the table.</t>
  </si>
  <si>
    <t>Some values to be entered must come from the Mass Code output report, thus the calcuation of uncertainty must be iterative to utilize data from the measurements, unless average values are established by laboratory policy that set bounds limiting the range of values within specific identified, documented criteria.</t>
  </si>
  <si>
    <t>The tab containing the MPE table is provided as a resource but must be validated.</t>
  </si>
  <si>
    <t>The Uncertainty Calculations and MPE Table tabs are protected using the password 'metrology'.</t>
  </si>
  <si>
    <t>The uncertainty of the restraint calculated in cell O3 is the value that would be entered in the Mass Code data file for the uncertainty of the starting restraint.  This will differ from the uncertainty from the calibration certificate because of the additional components related to the restraint that are included from the conditions at the time of use as the restraint.</t>
  </si>
  <si>
    <t>k</t>
  </si>
  <si>
    <t>Uncertainty of CIPM 2007 air density equation         Above coefficients (yellow highlighting) updated from R111 (2004) values to match CIPM 2007 air density paper.</t>
  </si>
  <si>
    <t>The uncertainty tab contains calculations that are believed to provide a good estimate of the uncertainty of mass disseminations using weighing designs.  The yellow cells in the Blue Restraint section (row 3) have comments describing the source of the information.  The headings of all other columns are similarly commented to guide in locating the information.</t>
  </si>
  <si>
    <t>(mg²)</t>
  </si>
  <si>
    <t>(cm³)</t>
  </si>
  <si>
    <t>Uncertainty of Mole Fraction of CO₂</t>
  </si>
  <si>
    <r>
      <t>U</t>
    </r>
    <r>
      <rPr>
        <b/>
        <vertAlign val="superscript"/>
        <sz val="12"/>
        <color theme="1"/>
        <rFont val="Calibri"/>
        <family val="2"/>
      </rPr>
      <t>²</t>
    </r>
    <r>
      <rPr>
        <b/>
        <sz val="12"/>
        <color theme="1"/>
        <rFont val="Calibri"/>
        <family val="2"/>
      </rPr>
      <t>(ABC Restraint)
(Output from C.6.3.1)</t>
    </r>
  </si>
  <si>
    <r>
      <t>u</t>
    </r>
    <r>
      <rPr>
        <b/>
        <vertAlign val="subscript"/>
        <sz val="12"/>
        <color rgb="FF000000"/>
        <rFont val="Calibri"/>
        <family val="2"/>
      </rPr>
      <t>(Rho(R))</t>
    </r>
  </si>
  <si>
    <r>
      <t>u</t>
    </r>
    <r>
      <rPr>
        <b/>
        <vertAlign val="subscript"/>
        <sz val="12"/>
        <color rgb="FF000000"/>
        <rFont val="Calibri"/>
        <family val="2"/>
      </rPr>
      <t>(t)</t>
    </r>
  </si>
  <si>
    <r>
      <t>u</t>
    </r>
    <r>
      <rPr>
        <b/>
        <vertAlign val="subscript"/>
        <sz val="12"/>
        <color rgb="FF000000"/>
        <rFont val="Calibri"/>
        <family val="2"/>
      </rPr>
      <t>(RH)</t>
    </r>
  </si>
  <si>
    <r>
      <t>u</t>
    </r>
    <r>
      <rPr>
        <b/>
        <vertAlign val="subscript"/>
        <sz val="12"/>
        <color rgb="FF000000"/>
        <rFont val="Calibri"/>
        <family val="2"/>
      </rPr>
      <t>(P)</t>
    </r>
  </si>
  <si>
    <r>
      <t>Rho</t>
    </r>
    <r>
      <rPr>
        <b/>
        <vertAlign val="subscript"/>
        <sz val="12"/>
        <color rgb="FF000000"/>
        <rFont val="Calibri"/>
        <family val="2"/>
      </rPr>
      <t>(a)</t>
    </r>
    <r>
      <rPr>
        <b/>
        <sz val="12"/>
        <color rgb="FF000000"/>
        <rFont val="Calibri"/>
        <family val="2"/>
      </rPr>
      <t xml:space="preserve"> at Restraint Cal</t>
    </r>
  </si>
  <si>
    <t>Nominal 
(g)</t>
  </si>
  <si>
    <t>(g/cm³)</t>
  </si>
  <si>
    <t>(% RH)</t>
  </si>
  <si>
    <t>(mmHg)</t>
  </si>
  <si>
    <t xml:space="preserve">CCE of Restraint
</t>
  </si>
  <si>
    <t>( /°C)</t>
  </si>
  <si>
    <t>6/?/2015</t>
  </si>
  <si>
    <t>This file was created to complete the uncertainty analysis of the results produced by the NIST Mass Code.</t>
  </si>
  <si>
    <t>V. Miller</t>
  </si>
  <si>
    <t>Revision Control</t>
  </si>
  <si>
    <t xml:space="preserve">The file was modified to correct the calculations of the errors caused by the variability in the sensitivity factors during measurements.  The equations that calculate the impact were modified to correct sensitivity values &lt;&gt; 1 to an equivalent value near unity. </t>
  </si>
  <si>
    <t>(mg/cm³)</t>
  </si>
  <si>
    <t>-</t>
  </si>
  <si>
    <t>Tolerance to be evaluated:</t>
  </si>
  <si>
    <r>
      <t>OIML E</t>
    </r>
    <r>
      <rPr>
        <b/>
        <vertAlign val="subscript"/>
        <sz val="9"/>
        <rFont val="Verdana"/>
        <family val="2"/>
      </rPr>
      <t>1</t>
    </r>
  </si>
  <si>
    <r>
      <t>OIML E</t>
    </r>
    <r>
      <rPr>
        <b/>
        <vertAlign val="subscript"/>
        <sz val="9"/>
        <rFont val="Verdana"/>
        <family val="2"/>
      </rPr>
      <t>2</t>
    </r>
  </si>
  <si>
    <r>
      <t>OIML F</t>
    </r>
    <r>
      <rPr>
        <b/>
        <vertAlign val="subscript"/>
        <sz val="9"/>
        <rFont val="Verdana"/>
        <family val="2"/>
      </rPr>
      <t>1</t>
    </r>
  </si>
  <si>
    <r>
      <t>OIML F</t>
    </r>
    <r>
      <rPr>
        <b/>
        <vertAlign val="subscript"/>
        <sz val="9"/>
        <rFont val="Verdana"/>
        <family val="2"/>
      </rPr>
      <t>2</t>
    </r>
  </si>
  <si>
    <r>
      <t>OIML M</t>
    </r>
    <r>
      <rPr>
        <b/>
        <vertAlign val="subscript"/>
        <sz val="9"/>
        <rFont val="Verdana"/>
        <family val="2"/>
      </rPr>
      <t>1</t>
    </r>
  </si>
  <si>
    <r>
      <t>OIML M</t>
    </r>
    <r>
      <rPr>
        <b/>
        <vertAlign val="subscript"/>
        <sz val="9"/>
        <rFont val="Verdana"/>
        <family val="2"/>
      </rPr>
      <t>1-2</t>
    </r>
  </si>
  <si>
    <r>
      <t>OIML M</t>
    </r>
    <r>
      <rPr>
        <b/>
        <vertAlign val="subscript"/>
        <sz val="9"/>
        <rFont val="Verdana"/>
        <family val="2"/>
      </rPr>
      <t>2</t>
    </r>
  </si>
  <si>
    <r>
      <t>OIML M</t>
    </r>
    <r>
      <rPr>
        <b/>
        <vertAlign val="subscript"/>
        <sz val="9"/>
        <rFont val="Verdana"/>
        <family val="2"/>
      </rPr>
      <t>2-3</t>
    </r>
  </si>
  <si>
    <r>
      <t>OIML M</t>
    </r>
    <r>
      <rPr>
        <b/>
        <vertAlign val="subscript"/>
        <sz val="9"/>
        <rFont val="Verdana"/>
        <family val="2"/>
      </rPr>
      <t>3</t>
    </r>
  </si>
  <si>
    <t>ASTM 000</t>
  </si>
  <si>
    <t>ASTM 00</t>
  </si>
  <si>
    <t>ASTM 0</t>
  </si>
  <si>
    <t>ASTM 1</t>
  </si>
  <si>
    <t>ASTM 2</t>
  </si>
  <si>
    <t>ASTM 3</t>
  </si>
  <si>
    <t>ASTM 4</t>
  </si>
  <si>
    <t>ASTM 5</t>
  </si>
  <si>
    <t>ASTM 6</t>
  </si>
  <si>
    <t>ASTM 7</t>
  </si>
  <si>
    <t>NIST F</t>
  </si>
  <si>
    <t>User 1</t>
  </si>
  <si>
    <t>User 2</t>
  </si>
  <si>
    <t>User 3</t>
  </si>
  <si>
    <t>User 4</t>
  </si>
  <si>
    <t>User 5</t>
  </si>
  <si>
    <r>
      <t>U</t>
    </r>
    <r>
      <rPr>
        <b/>
        <vertAlign val="superscript"/>
        <sz val="12"/>
        <color theme="1"/>
        <rFont val="Calibri"/>
        <family val="2"/>
      </rPr>
      <t>²</t>
    </r>
    <r>
      <rPr>
        <b/>
        <sz val="12"/>
        <color theme="1"/>
        <rFont val="Calibri"/>
        <family val="2"/>
      </rPr>
      <t>(ABC) for unknown
(Output from Simplified C.6.3.1)
(mg²)</t>
    </r>
  </si>
  <si>
    <r>
      <t>Assumed/Reported Density
Rho</t>
    </r>
    <r>
      <rPr>
        <b/>
        <vertAlign val="subscript"/>
        <sz val="12"/>
        <color rgb="FF000000"/>
        <rFont val="Calibri"/>
        <family val="2"/>
      </rPr>
      <t xml:space="preserve">(x)
</t>
    </r>
    <r>
      <rPr>
        <b/>
        <sz val="12"/>
        <color rgb="FF000000"/>
        <rFont val="Calibri"/>
        <family val="2"/>
      </rPr>
      <t>(g/cm³)</t>
    </r>
  </si>
  <si>
    <r>
      <t>u</t>
    </r>
    <r>
      <rPr>
        <b/>
        <vertAlign val="subscript"/>
        <sz val="12"/>
        <color rgb="FF000000"/>
        <rFont val="Calibri"/>
        <family val="2"/>
      </rPr>
      <t xml:space="preserve">Rho x
</t>
    </r>
    <r>
      <rPr>
        <b/>
        <sz val="12"/>
        <color rgb="FF000000"/>
        <rFont val="Calibri"/>
        <family val="2"/>
      </rPr>
      <t>(g/cm³)
(</t>
    </r>
    <r>
      <rPr>
        <b/>
        <i/>
        <sz val="12"/>
        <color rgb="FF000000"/>
        <rFont val="Calibri"/>
        <family val="2"/>
      </rPr>
      <t>k</t>
    </r>
    <r>
      <rPr>
        <b/>
        <sz val="12"/>
        <color rgb="FF000000"/>
        <rFont val="Calibri"/>
        <family val="2"/>
      </rPr>
      <t>=1)</t>
    </r>
  </si>
  <si>
    <r>
      <t>u</t>
    </r>
    <r>
      <rPr>
        <b/>
        <vertAlign val="subscript"/>
        <sz val="12"/>
        <color rgb="FF000000"/>
        <rFont val="Calibri"/>
        <family val="2"/>
      </rPr>
      <t>(t)</t>
    </r>
    <r>
      <rPr>
        <b/>
        <sz val="12"/>
        <color rgb="FF000000"/>
        <rFont val="Calibri"/>
        <family val="2"/>
      </rPr>
      <t xml:space="preserve">
(°C)
(k=1)</t>
    </r>
  </si>
  <si>
    <r>
      <t>u</t>
    </r>
    <r>
      <rPr>
        <b/>
        <vertAlign val="subscript"/>
        <sz val="12"/>
        <color rgb="FF000000"/>
        <rFont val="Calibri"/>
        <family val="2"/>
      </rPr>
      <t>(RH)</t>
    </r>
    <r>
      <rPr>
        <b/>
        <sz val="12"/>
        <color rgb="FF000000"/>
        <rFont val="Calibri"/>
        <family val="2"/>
      </rPr>
      <t xml:space="preserve">
(% RH)
(k=1)</t>
    </r>
  </si>
  <si>
    <r>
      <t>u</t>
    </r>
    <r>
      <rPr>
        <b/>
        <vertAlign val="subscript"/>
        <sz val="12"/>
        <color rgb="FF000000"/>
        <rFont val="Calibri"/>
        <family val="2"/>
      </rPr>
      <t>(P)</t>
    </r>
    <r>
      <rPr>
        <b/>
        <sz val="12"/>
        <color rgb="FF000000"/>
        <rFont val="Calibri"/>
        <family val="2"/>
      </rPr>
      <t xml:space="preserve">
(mmHg)
(k=1)</t>
    </r>
  </si>
  <si>
    <r>
      <t>Rho</t>
    </r>
    <r>
      <rPr>
        <b/>
        <vertAlign val="subscript"/>
        <sz val="12"/>
        <color rgb="FF000000"/>
        <rFont val="Calibri"/>
        <family val="2"/>
      </rPr>
      <t>(a)</t>
    </r>
    <r>
      <rPr>
        <b/>
        <sz val="12"/>
        <color rgb="FF000000"/>
        <rFont val="Calibri"/>
        <family val="2"/>
      </rPr>
      <t xml:space="preserve"> during this cal
(mg/cm³)</t>
    </r>
  </si>
  <si>
    <r>
      <t>u</t>
    </r>
    <r>
      <rPr>
        <b/>
        <vertAlign val="subscript"/>
        <sz val="12"/>
        <color rgb="FF000000"/>
        <rFont val="Calibri"/>
        <family val="2"/>
      </rPr>
      <t xml:space="preserve">(c)
</t>
    </r>
    <r>
      <rPr>
        <b/>
        <sz val="12"/>
        <color rgb="FF000000"/>
        <rFont val="Calibri"/>
        <family val="2"/>
      </rPr>
      <t>(</t>
    </r>
    <r>
      <rPr>
        <b/>
        <i/>
        <sz val="12"/>
        <color rgb="FF000000"/>
        <rFont val="Calibri"/>
        <family val="2"/>
      </rPr>
      <t>k</t>
    </r>
    <r>
      <rPr>
        <b/>
        <sz val="12"/>
        <color rgb="FF000000"/>
        <rFont val="Calibri"/>
        <family val="2"/>
      </rPr>
      <t>=1)
(mg)</t>
    </r>
  </si>
  <si>
    <r>
      <t>P</t>
    </r>
    <r>
      <rPr>
        <b/>
        <vertAlign val="subscript"/>
        <sz val="12"/>
        <color rgb="FF000000"/>
        <rFont val="Calibri"/>
        <family val="2"/>
      </rPr>
      <t>n</t>
    </r>
  </si>
  <si>
    <t>Type B from the restraint 
Calculated from Cell J3</t>
  </si>
  <si>
    <t>Type A of series
From Output Report</t>
  </si>
  <si>
    <t>CCE of X
(/°C)</t>
  </si>
  <si>
    <t>Mass error from Sensitivity error of Series
(mg)</t>
  </si>
  <si>
    <t>The air density values were changed to mg/cm³, with the associated edits required for the ub² equations.  The mass code output files provide the air density values in mg/cm³.  
All equations for 'Uncertainty due to the uncertainty of CCE' were edited to result in the correct units.
A tab was created for 5321 weight sets and one for 5221 weight sets so that it is not necessary to edit the various nominal values.</t>
  </si>
  <si>
    <r>
      <t>U</t>
    </r>
    <r>
      <rPr>
        <b/>
        <vertAlign val="subscript"/>
        <sz val="12"/>
        <color rgb="FF000000"/>
        <rFont val="Calibri"/>
        <family val="2"/>
      </rPr>
      <t>k=95.45 % CI</t>
    </r>
    <r>
      <rPr>
        <b/>
        <sz val="12"/>
        <color rgb="FF000000"/>
        <rFont val="Calibri"/>
        <family val="2"/>
      </rPr>
      <t xml:space="preserve">
(mg)</t>
    </r>
  </si>
  <si>
    <t>Max Deviation of T for Series from 20 °C
(°C)</t>
  </si>
  <si>
    <t>Added a column for entering the temperature deviation of each series and edited the u due to CCE of the test weight to use that temperature deviation in the calculation.  Added some error checking and associated responses for the uncertainty calculations.</t>
  </si>
  <si>
    <t>Each line of data relates to a specific nominal value, though the nominal column could be edited to fit a specific situation.
The worksheet tables are marked with lines to delineate the table by decades, which is the typical use of designs, to make it easier to follow the table across, but is not intended to indicate that decade based designs must be used.  If alternative designs are used, the originator recommends that the tables be reformatted to reflect the designs used by editing the line placement.  This is not a requirement but does clarify the designs used and makes data entry by 'series' more apparent to the casual observer.</t>
  </si>
  <si>
    <t>lb</t>
  </si>
  <si>
    <t>(lb)</t>
  </si>
  <si>
    <t>Nominal 
(lb)</t>
  </si>
  <si>
    <t>Type B from the restraint 
Calculated from Cell J3
(mg)</t>
  </si>
  <si>
    <t>Type A of series
From Output Report
(mg)</t>
  </si>
  <si>
    <t>Nominal
(lb)</t>
  </si>
  <si>
    <t>The values in the above table are correct as of 20200505.  Verified by comparison to current documentary standards.</t>
  </si>
  <si>
    <t>OIML R111 (2004)</t>
  </si>
  <si>
    <t>ASTM E617 (2018)</t>
  </si>
  <si>
    <t>NIST HB 105-1 (1990)</t>
  </si>
  <si>
    <t>Moved u² calculation for the restraint into the uncertainty of the restraint that gets passed to the unknowns and deleted the columns related to that component in the uncertainty of the unknowns section; edited all named ranges to fit the changes.</t>
  </si>
  <si>
    <t>Converted many cells to Named ranges and edited many equations to use the named range to better document the equations.  Added a tab for lb weights, and lb weight tolerances to the MPE table so that the lookup functions on the lb Uncertainty Calculations tab.  Named ranges were set to be tab specific to prevent unintentional calculations carrying over between tabs.</t>
  </si>
  <si>
    <t>The uncertainty calculation in L3 was edited to provide the correct units.
The user can now select from a dropdown in A5:B5 the tolerance against which the calculated uncertainties are to be evaluated.  This required editing the heading of the MPE tables, entering a "-" for any tolerance cell having no MPE value, adding data validation to cell A5:B5, editing the formulas in B8:B38, applying an error function to any calculations based on the MPE value to display "-", and setting conditional formatting for the Pn value column to NOT turn red if the resulting U is "-". Added lines for one additional decade.</t>
  </si>
  <si>
    <t>A12</t>
  </si>
  <si>
    <t>A13</t>
  </si>
  <si>
    <t>A14</t>
  </si>
  <si>
    <t>A15</t>
  </si>
  <si>
    <t xml:space="preserve">                                    AVERAGE                OBSERVED</t>
  </si>
  <si>
    <t xml:space="preserve">             A(I)     DELTA(I)     SENSITIVITY  DRIFT(I)  SENSITIVITY</t>
  </si>
  <si>
    <t xml:space="preserve">             [mg]       [mg]        [mg/div]      [mg]      [mg/div]</t>
  </si>
  <si>
    <t>A1</t>
  </si>
  <si>
    <t>A2</t>
  </si>
  <si>
    <t>A3</t>
  </si>
  <si>
    <t>A4</t>
  </si>
  <si>
    <t>A5</t>
  </si>
  <si>
    <t>A6</t>
  </si>
  <si>
    <t>A7</t>
  </si>
  <si>
    <t>A8</t>
  </si>
  <si>
    <t>A9</t>
  </si>
  <si>
    <t>A10</t>
  </si>
  <si>
    <t>A11</t>
  </si>
  <si>
    <t>Enter the values from the output text file here.</t>
  </si>
  <si>
    <t>Mean of Avg Sensitivities</t>
  </si>
  <si>
    <t>Max Observed Sensitivity</t>
  </si>
  <si>
    <t>Min Observed Sensitivity</t>
  </si>
  <si>
    <t>Copy and Paste the image from the Output Text file here.</t>
  </si>
  <si>
    <t>Created Sensitivity Calculations Sheet and added fields in which to enter sensitivity values to calculate the Mean of the Average Sensitivity values  and the max and min Observed Sensitivity Values.  The output of those three calculations can be copied and pasted into the fields for each series as appropriate.</t>
  </si>
  <si>
    <t>Uncertainty of Mole Fraction of CO₂ in the air</t>
  </si>
  <si>
    <r>
      <t>Mass Code Output Uncertainty
(</t>
    </r>
    <r>
      <rPr>
        <b/>
        <i/>
        <sz val="10"/>
        <color theme="1"/>
        <rFont val="Calibri"/>
        <family val="2"/>
      </rPr>
      <t>k</t>
    </r>
    <r>
      <rPr>
        <b/>
        <sz val="10"/>
        <color theme="1"/>
        <rFont val="Calibri"/>
        <family val="2"/>
      </rPr>
      <t>=1)
Includes Type A and B of process from the restraint</t>
    </r>
  </si>
  <si>
    <r>
      <t>Mass Code Output Uncertainty
(</t>
    </r>
    <r>
      <rPr>
        <b/>
        <i/>
        <sz val="10"/>
        <color theme="1"/>
        <rFont val="Calibri"/>
        <family val="2"/>
      </rPr>
      <t>k</t>
    </r>
    <r>
      <rPr>
        <b/>
        <sz val="10"/>
        <color theme="1"/>
        <rFont val="Calibri"/>
        <family val="2"/>
      </rPr>
      <t>=1)
Includes Type A of this process and Type B  from the restraint</t>
    </r>
  </si>
  <si>
    <t>Sourced from Restraint</t>
  </si>
  <si>
    <t>Applicable to Unknown (X)</t>
  </si>
  <si>
    <t>Removed content of Column F which had contained a term that was a proportional distribution of the sensitivity error in Series 1, after realizing that it was already included in the uncertainty of the restraint that is being proportionately being passed down from Series 1 already.  Thus that error was being double counted.  After removing the content and editing the subseqent equation in Column G that content was moved to Column F and column G made blank, indicating the break between the Uncertainties coming from Series 1 and those associated directly with the unknown weights.</t>
  </si>
  <si>
    <t xml:space="preserve"> A  1     -31.44190    -0.03200     0.99990     0.00500     0.99996</t>
  </si>
  <si>
    <t xml:space="preserve"> A  2     -30.94195    -0.01101     0.99990     0.00500     0.99991</t>
  </si>
  <si>
    <t xml:space="preserve"> A  3     -31.28691     0.02800     0.99990     0.04000     1.00023</t>
  </si>
  <si>
    <t xml:space="preserve"> A  4     -31.10193     0.01500     0.99990     0.00500     0.99986</t>
  </si>
  <si>
    <t xml:space="preserve"> A  5       0.46995    -0.00900     0.99990     0.02000     0.99998</t>
  </si>
  <si>
    <t xml:space="preserve"> A  6       0.07999    -0.01499     0.99990     0.01000     0.99983</t>
  </si>
  <si>
    <t xml:space="preserve"> A  7       0.28497    -0.00799     0.99990     0.01500     0.99996</t>
  </si>
  <si>
    <t xml:space="preserve"> A  8      -0.40496    -0.02099     0.99990    -0.02500     0.99971</t>
  </si>
  <si>
    <t xml:space="preserve"> A  9      -0.18498     0.00101     0.99990    -0.00500     0.99971</t>
  </si>
  <si>
    <t xml:space="preserve"> A 10       0.18998    -0.00800     0.99990     0.00000     0.99988</t>
  </si>
  <si>
    <t xml:space="preserve"> A 11      -0.32969    -0.00029     1.00011     0.00055     1.00031</t>
  </si>
  <si>
    <t>Uncertainty due to Sensitivity Error of Series 1</t>
  </si>
  <si>
    <t>Observed Sensitivity Values</t>
  </si>
  <si>
    <t>A16</t>
  </si>
  <si>
    <t>A17</t>
  </si>
  <si>
    <t>Created in X3 the calculation of u_Sens_R.  Edited J3 to use that named range.  
Changed named range CalU_R to u_Cal_R to use lower case representing the k=1 uncertainty value of the restraint.</t>
  </si>
  <si>
    <t>Entered an equation to set the CCE of unknowns based on the entered material density.  Added note to column heading indicating that Brass cannot be used with the Mass Code Uncertainty Calculator.  The CCE for Brass WILL NOT display correctly and errors will result. Brass at 8.3909 is in the density range of Nichrome and only the CCE of Nichrome will display.  To allow for use of measured density values, values between 2.6 and 2.8 return the CCE of Aluminum(0.000069/°C), values between 7.8 and 8.05 return the CCE of SS(0.000045/°C), values between 8.3 and 8.6 return the CCE of Nichrome(0.000039/°C), and values between 16.6 and 16.8 return a CCE for Tantalum(0.00002/°C).</t>
  </si>
  <si>
    <t>Added a line at each decade for calculation of uncertainties related to the check standard used in each series.  While this may be an unnecessary calculation as this uncertainty will not be reported on a calibration certificate, it will provide an uncertainty value to be entered in associated control charts for the measurements, as part of the overall measurement uncertainty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</si>
</sst>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00"/>
    <numFmt numFmtId="166" formatCode="0.00000000"/>
  </numFmts>
  <fonts count="37" x14ac:knownFonts="1">
    <font>
      <sz val="11"/>
      <color theme="1"/>
      <name val="Calibri"/>
      <family val="2"/>
      <scheme val="minor"/>
    </font>
    <font>
      <sz val="11"/>
      <color theme="1"/>
      <name val="Calibri"/>
      <family val="2"/>
    </font>
    <font>
      <b/>
      <sz val="11"/>
      <color theme="1"/>
      <name val="Calibri"/>
      <family val="2"/>
      <scheme val="minor"/>
    </font>
    <font>
      <b/>
      <sz val="11"/>
      <color theme="1"/>
      <name val="Calibri"/>
      <family val="2"/>
    </font>
    <font>
      <b/>
      <sz val="9"/>
      <name val="Verdana"/>
      <family val="2"/>
    </font>
    <font>
      <sz val="9"/>
      <name val="Arial"/>
      <family val="2"/>
    </font>
    <font>
      <sz val="9"/>
      <name val="Verdana"/>
      <family val="2"/>
    </font>
    <font>
      <b/>
      <sz val="9"/>
      <name val="Arial"/>
      <family val="2"/>
    </font>
    <font>
      <b/>
      <vertAlign val="subscript"/>
      <sz val="9"/>
      <name val="Verdana"/>
      <family val="2"/>
    </font>
    <font>
      <i/>
      <sz val="9"/>
      <name val="Verdana"/>
      <family val="2"/>
    </font>
    <font>
      <sz val="9"/>
      <name val="Calibri"/>
      <family val="2"/>
    </font>
    <font>
      <sz val="9"/>
      <color indexed="81"/>
      <name val="Tahoma"/>
      <family val="2"/>
    </font>
    <font>
      <b/>
      <sz val="9"/>
      <color indexed="81"/>
      <name val="Tahoma"/>
      <family val="2"/>
    </font>
    <font>
      <b/>
      <sz val="12"/>
      <color rgb="FFFF0000"/>
      <name val="Times New Roman"/>
      <family val="1"/>
    </font>
    <font>
      <sz val="12"/>
      <name val="Times New Roman"/>
      <family val="1"/>
    </font>
    <font>
      <b/>
      <sz val="11"/>
      <color rgb="FFFF0000"/>
      <name val="Calibri"/>
      <family val="2"/>
      <scheme val="minor"/>
    </font>
    <font>
      <u/>
      <sz val="11"/>
      <color theme="10"/>
      <name val="Calibri"/>
      <family val="2"/>
      <scheme val="minor"/>
    </font>
    <font>
      <b/>
      <i/>
      <sz val="9"/>
      <color indexed="81"/>
      <name val="Tahoma"/>
      <family val="2"/>
    </font>
    <font>
      <b/>
      <sz val="12"/>
      <color indexed="10"/>
      <name val="Arial"/>
      <family val="2"/>
    </font>
    <font>
      <b/>
      <sz val="10"/>
      <color indexed="81"/>
      <name val="Tahoma"/>
      <family val="2"/>
    </font>
    <font>
      <b/>
      <sz val="12"/>
      <color theme="1"/>
      <name val="Calibri"/>
      <family val="2"/>
    </font>
    <font>
      <b/>
      <vertAlign val="superscript"/>
      <sz val="12"/>
      <color theme="1"/>
      <name val="Calibri"/>
      <family val="2"/>
    </font>
    <font>
      <sz val="12"/>
      <color theme="1"/>
      <name val="Calibri"/>
      <family val="2"/>
    </font>
    <font>
      <b/>
      <sz val="12"/>
      <color rgb="FF000000"/>
      <name val="Calibri"/>
      <family val="2"/>
    </font>
    <font>
      <b/>
      <vertAlign val="subscript"/>
      <sz val="12"/>
      <color rgb="FF000000"/>
      <name val="Calibri"/>
      <family val="2"/>
    </font>
    <font>
      <sz val="11"/>
      <color rgb="FF000000"/>
      <name val="Calibri"/>
      <family val="2"/>
    </font>
    <font>
      <b/>
      <sz val="20"/>
      <color theme="1"/>
      <name val="Calibri"/>
      <family val="2"/>
    </font>
    <font>
      <b/>
      <sz val="16"/>
      <color theme="1"/>
      <name val="Calibri"/>
      <family val="2"/>
    </font>
    <font>
      <b/>
      <sz val="11"/>
      <color rgb="FFFF0000"/>
      <name val="Calibri"/>
      <family val="2"/>
    </font>
    <font>
      <b/>
      <i/>
      <sz val="12"/>
      <color rgb="FF000000"/>
      <name val="Calibri"/>
      <family val="2"/>
    </font>
    <font>
      <sz val="12"/>
      <color rgb="FF000000"/>
      <name val="Calibri"/>
      <family val="2"/>
    </font>
    <font>
      <sz val="12"/>
      <color theme="1"/>
      <name val="Times New Roman"/>
      <family val="1"/>
    </font>
    <font>
      <b/>
      <sz val="12"/>
      <color theme="1"/>
      <name val="Calibri"/>
      <family val="2"/>
      <scheme val="minor"/>
    </font>
    <font>
      <b/>
      <sz val="10"/>
      <color theme="1"/>
      <name val="Calibri"/>
      <family val="2"/>
    </font>
    <font>
      <b/>
      <i/>
      <sz val="10"/>
      <color theme="1"/>
      <name val="Calibri"/>
      <family val="2"/>
    </font>
    <font>
      <sz val="8"/>
      <name val="Calibri"/>
      <family val="2"/>
      <scheme val="minor"/>
    </font>
    <font>
      <b/>
      <u/>
      <sz val="9"/>
      <color indexed="81"/>
      <name val="Tahoma"/>
      <family val="2"/>
    </font>
  </fonts>
  <fills count="14">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indexed="41"/>
        <bgColor indexed="64"/>
      </patternFill>
    </fill>
    <fill>
      <patternFill patternType="solid">
        <fgColor rgb="FF99FFCC"/>
        <bgColor indexed="64"/>
      </patternFill>
    </fill>
    <fill>
      <patternFill patternType="solid">
        <fgColor rgb="FFCCECFF"/>
        <bgColor indexed="64"/>
      </patternFill>
    </fill>
    <fill>
      <patternFill patternType="solid">
        <fgColor rgb="FFFFFF99"/>
        <bgColor indexed="64"/>
      </patternFill>
    </fill>
    <fill>
      <patternFill patternType="solid">
        <fgColor rgb="FF33CCFF"/>
        <bgColor indexed="64"/>
      </patternFill>
    </fill>
    <fill>
      <patternFill patternType="solid">
        <fgColor rgb="FF66CCFF"/>
        <bgColor indexed="64"/>
      </patternFill>
    </fill>
  </fills>
  <borders count="57">
    <border>
      <left/>
      <right/>
      <top/>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bottom/>
      <diagonal/>
    </border>
    <border>
      <left/>
      <right style="hair">
        <color indexed="64"/>
      </right>
      <top/>
      <bottom/>
      <diagonal/>
    </border>
    <border>
      <left style="hair">
        <color indexed="64"/>
      </left>
      <right style="hair">
        <color indexed="64"/>
      </right>
      <top style="double">
        <color indexed="64"/>
      </top>
      <bottom style="dotted">
        <color indexed="64"/>
      </bottom>
      <diagonal/>
    </border>
    <border>
      <left style="hair">
        <color indexed="64"/>
      </left>
      <right style="double">
        <color indexed="64"/>
      </right>
      <top style="double">
        <color indexed="64"/>
      </top>
      <bottom style="dotted">
        <color indexed="64"/>
      </bottom>
      <diagonal/>
    </border>
    <border>
      <left style="double">
        <color indexed="64"/>
      </left>
      <right style="hair">
        <color indexed="64"/>
      </right>
      <top style="double">
        <color indexed="64"/>
      </top>
      <bottom style="dotted">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double">
        <color indexed="64"/>
      </right>
      <top style="dotted">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diagonal/>
    </border>
    <border>
      <left/>
      <right/>
      <top/>
      <bottom style="thin">
        <color auto="1"/>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auto="1"/>
      </right>
      <top style="thin">
        <color auto="1"/>
      </top>
      <bottom style="thin">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2">
    <xf numFmtId="0" fontId="0" fillId="0" borderId="0"/>
    <xf numFmtId="0" fontId="16" fillId="0" borderId="0" applyNumberFormat="0" applyFill="0" applyBorder="0" applyAlignment="0" applyProtection="0"/>
  </cellStyleXfs>
  <cellXfs count="218">
    <xf numFmtId="0" fontId="0" fillId="0" borderId="0" xfId="0"/>
    <xf numFmtId="0" fontId="0" fillId="0" borderId="0" xfId="0" applyFill="1"/>
    <xf numFmtId="0" fontId="5" fillId="0" borderId="0" xfId="0" applyFont="1" applyFill="1" applyProtection="1"/>
    <xf numFmtId="0" fontId="5" fillId="0" borderId="0" xfId="0" applyFont="1" applyFill="1"/>
    <xf numFmtId="0" fontId="6" fillId="0" borderId="1" xfId="0" applyFont="1" applyBorder="1" applyAlignment="1" applyProtection="1">
      <alignment wrapText="1"/>
    </xf>
    <xf numFmtId="0" fontId="6" fillId="0" borderId="13" xfId="0" applyFont="1" applyBorder="1" applyAlignment="1" applyProtection="1">
      <alignment horizontal="left" wrapText="1"/>
    </xf>
    <xf numFmtId="0" fontId="6" fillId="0" borderId="13" xfId="0" applyFont="1" applyBorder="1" applyAlignment="1" applyProtection="1">
      <alignment wrapText="1"/>
    </xf>
    <xf numFmtId="0" fontId="4" fillId="5" borderId="3" xfId="0" applyFont="1" applyFill="1" applyBorder="1" applyAlignment="1">
      <alignment horizontal="center"/>
    </xf>
    <xf numFmtId="0" fontId="5" fillId="2" borderId="3" xfId="0" applyFont="1" applyFill="1" applyBorder="1" applyProtection="1"/>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4" fillId="3" borderId="17" xfId="0" applyFont="1" applyFill="1" applyBorder="1" applyAlignment="1">
      <alignment horizontal="center" vertical="center"/>
    </xf>
    <xf numFmtId="0" fontId="5" fillId="6" borderId="7" xfId="0" applyFont="1" applyFill="1" applyBorder="1" applyAlignment="1">
      <alignment vertical="center"/>
    </xf>
    <xf numFmtId="0" fontId="5" fillId="6" borderId="8" xfId="0" applyFont="1" applyFill="1" applyBorder="1" applyAlignment="1">
      <alignment vertical="center"/>
    </xf>
    <xf numFmtId="0" fontId="5" fillId="2" borderId="9" xfId="0" applyFont="1" applyFill="1" applyBorder="1" applyAlignment="1">
      <alignment vertical="center"/>
    </xf>
    <xf numFmtId="0" fontId="5" fillId="0" borderId="0" xfId="0" applyFont="1" applyFill="1" applyAlignment="1">
      <alignment vertical="center"/>
    </xf>
    <xf numFmtId="0" fontId="6" fillId="0" borderId="19" xfId="0" applyFont="1" applyBorder="1" applyAlignment="1" applyProtection="1">
      <alignment horizontal="center" wrapText="1"/>
    </xf>
    <xf numFmtId="0" fontId="6" fillId="0" borderId="20" xfId="0" applyFont="1" applyBorder="1" applyAlignment="1" applyProtection="1">
      <alignment horizontal="left" wrapText="1"/>
    </xf>
    <xf numFmtId="0" fontId="6" fillId="0" borderId="20" xfId="0" applyFont="1" applyBorder="1" applyAlignment="1" applyProtection="1">
      <alignment horizontal="center" wrapText="1"/>
    </xf>
    <xf numFmtId="0" fontId="9" fillId="7" borderId="21" xfId="0" applyFont="1" applyFill="1" applyBorder="1" applyAlignment="1">
      <alignment horizontal="center"/>
    </xf>
    <xf numFmtId="0" fontId="9" fillId="7" borderId="22" xfId="0" applyFont="1" applyFill="1" applyBorder="1" applyAlignment="1">
      <alignment horizontal="center"/>
    </xf>
    <xf numFmtId="0" fontId="9" fillId="7" borderId="23" xfId="0" applyFont="1" applyFill="1" applyBorder="1" applyAlignment="1">
      <alignment horizontal="center"/>
    </xf>
    <xf numFmtId="0" fontId="6" fillId="0" borderId="24" xfId="0" applyFont="1" applyBorder="1" applyAlignment="1">
      <alignment horizontal="right"/>
    </xf>
    <xf numFmtId="0" fontId="6" fillId="0" borderId="25" xfId="0" applyFont="1" applyBorder="1" applyAlignment="1">
      <alignment horizontal="left"/>
    </xf>
    <xf numFmtId="0" fontId="6" fillId="0" borderId="25" xfId="0" applyFont="1" applyBorder="1" applyAlignment="1">
      <alignment horizontal="right"/>
    </xf>
    <xf numFmtId="0" fontId="6" fillId="3" borderId="26" xfId="0" applyFont="1" applyFill="1" applyBorder="1" applyAlignment="1" applyProtection="1">
      <alignment horizontal="center"/>
    </xf>
    <xf numFmtId="0" fontId="6" fillId="3" borderId="26" xfId="0" applyFont="1" applyFill="1" applyBorder="1" applyAlignment="1">
      <alignment horizontal="center"/>
    </xf>
    <xf numFmtId="0" fontId="6" fillId="4" borderId="26" xfId="0" applyFont="1" applyFill="1" applyBorder="1" applyAlignment="1" applyProtection="1">
      <alignment horizontal="center"/>
    </xf>
    <xf numFmtId="0" fontId="6" fillId="4" borderId="26" xfId="0" applyFont="1" applyFill="1" applyBorder="1" applyAlignment="1">
      <alignment horizontal="center"/>
    </xf>
    <xf numFmtId="0" fontId="6" fillId="5" borderId="27" xfId="0" applyFont="1" applyFill="1" applyBorder="1" applyAlignment="1">
      <alignment horizontal="center"/>
    </xf>
    <xf numFmtId="0" fontId="6" fillId="8" borderId="4" xfId="0" applyFont="1" applyFill="1" applyBorder="1" applyAlignment="1">
      <alignment horizontal="right"/>
    </xf>
    <xf numFmtId="0" fontId="6" fillId="8" borderId="31" xfId="0" applyFont="1" applyFill="1" applyBorder="1" applyAlignment="1">
      <alignment horizontal="right"/>
    </xf>
    <xf numFmtId="0" fontId="6" fillId="3" borderId="5" xfId="0" applyFont="1" applyFill="1" applyBorder="1" applyAlignment="1" applyProtection="1">
      <alignment horizontal="center"/>
    </xf>
    <xf numFmtId="0" fontId="6" fillId="4" borderId="5" xfId="0" applyFont="1" applyFill="1" applyBorder="1" applyAlignment="1" applyProtection="1">
      <alignment horizontal="center"/>
    </xf>
    <xf numFmtId="0" fontId="6" fillId="4" borderId="5" xfId="0" applyFont="1" applyFill="1" applyBorder="1" applyAlignment="1">
      <alignment horizontal="center"/>
    </xf>
    <xf numFmtId="0" fontId="6" fillId="5" borderId="6" xfId="0" applyFont="1" applyFill="1" applyBorder="1" applyAlignment="1">
      <alignment horizontal="center"/>
    </xf>
    <xf numFmtId="0" fontId="6" fillId="0" borderId="4" xfId="0" applyFont="1" applyBorder="1" applyAlignment="1">
      <alignment horizontal="right"/>
    </xf>
    <xf numFmtId="0" fontId="6" fillId="0" borderId="31" xfId="0" applyFont="1" applyBorder="1" applyAlignment="1">
      <alignment horizontal="right"/>
    </xf>
    <xf numFmtId="0" fontId="6" fillId="3" borderId="5" xfId="0" applyFont="1" applyFill="1" applyBorder="1" applyAlignment="1">
      <alignment horizontal="center"/>
    </xf>
    <xf numFmtId="0" fontId="6" fillId="0" borderId="31" xfId="0" applyFont="1" applyBorder="1" applyAlignment="1">
      <alignment horizontal="left"/>
    </xf>
    <xf numFmtId="0" fontId="6" fillId="0" borderId="32" xfId="0" applyFont="1" applyBorder="1" applyAlignment="1">
      <alignment horizontal="right"/>
    </xf>
    <xf numFmtId="0" fontId="6" fillId="0" borderId="33" xfId="0" applyFont="1" applyBorder="1" applyAlignment="1">
      <alignment horizontal="right"/>
    </xf>
    <xf numFmtId="0" fontId="6" fillId="3" borderId="17" xfId="0" applyFont="1" applyFill="1" applyBorder="1" applyAlignment="1">
      <alignment horizontal="center"/>
    </xf>
    <xf numFmtId="0" fontId="6" fillId="3" borderId="17" xfId="0" applyFont="1" applyFill="1" applyBorder="1" applyAlignment="1" applyProtection="1">
      <alignment horizontal="center"/>
    </xf>
    <xf numFmtId="0" fontId="6" fillId="4" borderId="17" xfId="0" applyFont="1" applyFill="1" applyBorder="1" applyAlignment="1">
      <alignment horizontal="center"/>
    </xf>
    <xf numFmtId="0" fontId="6" fillId="4" borderId="17" xfId="0" applyFont="1" applyFill="1" applyBorder="1" applyAlignment="1" applyProtection="1">
      <alignment horizontal="center"/>
    </xf>
    <xf numFmtId="0" fontId="6" fillId="5" borderId="18" xfId="0" applyFont="1" applyFill="1" applyBorder="1" applyAlignment="1">
      <alignment horizontal="center"/>
    </xf>
    <xf numFmtId="0" fontId="6" fillId="0" borderId="33" xfId="0" applyFont="1" applyBorder="1" applyAlignment="1">
      <alignment horizontal="left"/>
    </xf>
    <xf numFmtId="0" fontId="6" fillId="0" borderId="7" xfId="0" applyFont="1" applyBorder="1" applyAlignment="1">
      <alignment horizontal="right"/>
    </xf>
    <xf numFmtId="0" fontId="6" fillId="0" borderId="8" xfId="0" applyFont="1" applyBorder="1" applyAlignment="1">
      <alignment horizontal="left"/>
    </xf>
    <xf numFmtId="0" fontId="6" fillId="0" borderId="16" xfId="0" applyFont="1" applyBorder="1" applyAlignment="1">
      <alignment horizontal="right"/>
    </xf>
    <xf numFmtId="0" fontId="6" fillId="3" borderId="8" xfId="0" applyFont="1" applyFill="1" applyBorder="1" applyAlignment="1" applyProtection="1">
      <alignment horizontal="center"/>
    </xf>
    <xf numFmtId="0" fontId="6" fillId="4" borderId="8" xfId="0" applyFont="1" applyFill="1" applyBorder="1" applyAlignment="1">
      <alignment horizontal="center"/>
    </xf>
    <xf numFmtId="0" fontId="6" fillId="4" borderId="8" xfId="0" applyFont="1" applyFill="1" applyBorder="1" applyAlignment="1" applyProtection="1">
      <alignment horizontal="center"/>
    </xf>
    <xf numFmtId="0" fontId="5" fillId="0" borderId="0" xfId="0" applyFont="1" applyFill="1" applyAlignment="1">
      <alignment horizontal="left"/>
    </xf>
    <xf numFmtId="0" fontId="0" fillId="0" borderId="0" xfId="0" applyProtection="1"/>
    <xf numFmtId="0" fontId="13" fillId="0" borderId="0" xfId="0" applyFont="1" applyAlignment="1">
      <alignment vertical="top"/>
    </xf>
    <xf numFmtId="0" fontId="14" fillId="0" borderId="0" xfId="0" applyFont="1" applyAlignment="1" applyProtection="1">
      <alignment vertical="top"/>
    </xf>
    <xf numFmtId="0" fontId="0" fillId="0" borderId="0" xfId="0" applyAlignment="1" applyProtection="1"/>
    <xf numFmtId="0" fontId="0" fillId="0" borderId="0" xfId="0" applyAlignment="1" applyProtection="1">
      <alignment vertical="top"/>
    </xf>
    <xf numFmtId="0" fontId="4" fillId="4" borderId="17" xfId="0" quotePrefix="1" applyFont="1" applyFill="1" applyBorder="1" applyAlignment="1" applyProtection="1">
      <alignment horizontal="center" vertical="center"/>
    </xf>
    <xf numFmtId="0" fontId="4" fillId="4" borderId="17" xfId="0" quotePrefix="1" applyFont="1" applyFill="1" applyBorder="1" applyAlignment="1">
      <alignment horizontal="center" vertical="center"/>
    </xf>
    <xf numFmtId="0" fontId="4" fillId="5" borderId="18" xfId="0" quotePrefix="1" applyFont="1" applyFill="1" applyBorder="1" applyAlignment="1">
      <alignment horizontal="center" vertical="center"/>
    </xf>
    <xf numFmtId="0" fontId="20" fillId="10" borderId="38" xfId="0" applyFont="1" applyFill="1" applyBorder="1" applyAlignment="1">
      <alignment horizontal="center" wrapText="1"/>
    </xf>
    <xf numFmtId="0" fontId="20" fillId="10" borderId="38" xfId="0" applyFont="1" applyFill="1" applyBorder="1" applyAlignment="1" applyProtection="1">
      <alignment horizontal="center" wrapText="1"/>
    </xf>
    <xf numFmtId="0" fontId="23" fillId="10" borderId="38" xfId="0" applyFont="1" applyFill="1" applyBorder="1" applyAlignment="1">
      <alignment horizontal="center" wrapText="1"/>
    </xf>
    <xf numFmtId="0" fontId="1" fillId="0" borderId="0" xfId="0" applyFont="1"/>
    <xf numFmtId="0" fontId="20" fillId="10" borderId="39" xfId="0" applyFont="1" applyFill="1" applyBorder="1" applyAlignment="1">
      <alignment horizontal="center"/>
    </xf>
    <xf numFmtId="0" fontId="20" fillId="10" borderId="40" xfId="0" applyFont="1" applyFill="1" applyBorder="1" applyAlignment="1">
      <alignment horizontal="center"/>
    </xf>
    <xf numFmtId="0" fontId="20" fillId="10" borderId="40" xfId="0" applyFont="1" applyFill="1" applyBorder="1" applyAlignment="1" applyProtection="1">
      <alignment horizontal="center"/>
    </xf>
    <xf numFmtId="0" fontId="23" fillId="10" borderId="39" xfId="0" applyFont="1" applyFill="1" applyBorder="1" applyAlignment="1">
      <alignment horizontal="center" wrapText="1"/>
    </xf>
    <xf numFmtId="0" fontId="1" fillId="0" borderId="0" xfId="0" applyFont="1" applyAlignment="1"/>
    <xf numFmtId="0" fontId="1" fillId="11" borderId="37" xfId="0" applyFont="1" applyFill="1" applyBorder="1" applyAlignment="1" applyProtection="1">
      <alignment horizontal="center"/>
      <protection locked="0"/>
    </xf>
    <xf numFmtId="0" fontId="1" fillId="10" borderId="0" xfId="0" applyFont="1" applyFill="1"/>
    <xf numFmtId="0" fontId="1" fillId="10" borderId="37" xfId="0" applyFont="1" applyFill="1" applyBorder="1" applyProtection="1"/>
    <xf numFmtId="0" fontId="1" fillId="0" borderId="0" xfId="0" applyFont="1" applyFill="1"/>
    <xf numFmtId="0" fontId="3" fillId="0" borderId="0" xfId="0" applyFont="1"/>
    <xf numFmtId="0" fontId="26" fillId="0" borderId="0" xfId="0" applyFont="1"/>
    <xf numFmtId="0" fontId="1" fillId="0" borderId="38" xfId="0" applyFont="1" applyBorder="1"/>
    <xf numFmtId="0" fontId="1" fillId="0" borderId="36" xfId="0" applyFont="1" applyBorder="1" applyAlignment="1">
      <alignment horizontal="center"/>
    </xf>
    <xf numFmtId="0" fontId="3" fillId="9" borderId="43" xfId="0" applyFont="1" applyFill="1" applyBorder="1" applyAlignment="1">
      <alignment horizontal="right" wrapText="1"/>
    </xf>
    <xf numFmtId="0" fontId="1" fillId="11" borderId="43" xfId="0" applyFont="1" applyFill="1" applyBorder="1" applyAlignment="1" applyProtection="1">
      <alignment horizontal="center"/>
      <protection locked="0"/>
    </xf>
    <xf numFmtId="0" fontId="1" fillId="0" borderId="43" xfId="0" applyFont="1" applyBorder="1"/>
    <xf numFmtId="0" fontId="1" fillId="10" borderId="38" xfId="0" applyFont="1" applyFill="1" applyBorder="1" applyAlignment="1" applyProtection="1">
      <alignment horizontal="center"/>
    </xf>
    <xf numFmtId="0" fontId="1" fillId="10" borderId="43" xfId="0" applyFont="1" applyFill="1" applyBorder="1" applyAlignment="1">
      <alignment horizontal="center" wrapText="1"/>
    </xf>
    <xf numFmtId="0" fontId="1" fillId="9" borderId="43" xfId="0" applyFont="1" applyFill="1" applyBorder="1" applyAlignment="1">
      <alignment horizontal="center"/>
    </xf>
    <xf numFmtId="0" fontId="25" fillId="9" borderId="43" xfId="0" applyFont="1" applyFill="1" applyBorder="1" applyAlignment="1">
      <alignment horizontal="center" vertical="center" wrapText="1"/>
    </xf>
    <xf numFmtId="2" fontId="1" fillId="11" borderId="43" xfId="0" applyNumberFormat="1" applyFont="1" applyFill="1" applyBorder="1" applyAlignment="1" applyProtection="1">
      <alignment horizontal="center"/>
      <protection locked="0"/>
    </xf>
    <xf numFmtId="0" fontId="3" fillId="9" borderId="40" xfId="0" applyFont="1" applyFill="1" applyBorder="1" applyAlignment="1">
      <alignment horizontal="right" wrapText="1"/>
    </xf>
    <xf numFmtId="0" fontId="1" fillId="11" borderId="40" xfId="0" applyFont="1" applyFill="1" applyBorder="1" applyAlignment="1" applyProtection="1">
      <alignment horizontal="center"/>
      <protection locked="0"/>
    </xf>
    <xf numFmtId="0" fontId="1" fillId="0" borderId="40" xfId="0" applyFont="1" applyBorder="1"/>
    <xf numFmtId="0" fontId="1" fillId="10" borderId="40" xfId="0" applyFont="1" applyFill="1" applyBorder="1" applyAlignment="1" applyProtection="1">
      <alignment horizontal="center"/>
    </xf>
    <xf numFmtId="0" fontId="1" fillId="10" borderId="40" xfId="0" applyFont="1" applyFill="1" applyBorder="1" applyAlignment="1">
      <alignment horizontal="center" wrapText="1"/>
    </xf>
    <xf numFmtId="0" fontId="1" fillId="9" borderId="40" xfId="0" applyFont="1" applyFill="1" applyBorder="1" applyAlignment="1">
      <alignment horizontal="center"/>
    </xf>
    <xf numFmtId="0" fontId="25" fillId="9" borderId="40" xfId="0" applyFont="1" applyFill="1" applyBorder="1" applyAlignment="1">
      <alignment horizontal="center" vertical="center" wrapText="1"/>
    </xf>
    <xf numFmtId="2" fontId="1" fillId="11" borderId="40" xfId="0" applyNumberFormat="1" applyFont="1" applyFill="1" applyBorder="1" applyAlignment="1" applyProtection="1">
      <alignment horizontal="center"/>
      <protection locked="0"/>
    </xf>
    <xf numFmtId="0" fontId="3" fillId="9" borderId="39" xfId="0" applyFont="1" applyFill="1" applyBorder="1" applyAlignment="1">
      <alignment horizontal="right" wrapText="1"/>
    </xf>
    <xf numFmtId="0" fontId="1" fillId="11" borderId="39" xfId="0" applyFont="1" applyFill="1" applyBorder="1" applyAlignment="1" applyProtection="1">
      <alignment horizontal="center"/>
      <protection locked="0"/>
    </xf>
    <xf numFmtId="0" fontId="1" fillId="0" borderId="39" xfId="0" applyFont="1" applyBorder="1"/>
    <xf numFmtId="0" fontId="1" fillId="10" borderId="39" xfId="0" applyFont="1" applyFill="1" applyBorder="1" applyAlignment="1">
      <alignment horizontal="center" wrapText="1"/>
    </xf>
    <xf numFmtId="0" fontId="1" fillId="9" borderId="39" xfId="0" applyFont="1" applyFill="1" applyBorder="1" applyAlignment="1">
      <alignment horizontal="center"/>
    </xf>
    <xf numFmtId="0" fontId="25" fillId="9" borderId="39" xfId="0" applyFont="1" applyFill="1" applyBorder="1" applyAlignment="1">
      <alignment horizontal="center" vertical="center" wrapText="1"/>
    </xf>
    <xf numFmtId="2" fontId="1" fillId="11" borderId="39" xfId="0" applyNumberFormat="1" applyFont="1" applyFill="1" applyBorder="1" applyAlignment="1" applyProtection="1">
      <alignment horizontal="center"/>
      <protection locked="0"/>
    </xf>
    <xf numFmtId="0" fontId="1" fillId="0" borderId="35" xfId="0" applyFont="1" applyBorder="1" applyAlignment="1">
      <alignment horizontal="center"/>
    </xf>
    <xf numFmtId="0" fontId="1" fillId="0" borderId="35" xfId="0" applyFont="1" applyBorder="1"/>
    <xf numFmtId="0" fontId="3" fillId="9" borderId="39" xfId="0" applyFont="1" applyFill="1" applyBorder="1" applyAlignment="1">
      <alignment horizontal="right"/>
    </xf>
    <xf numFmtId="0" fontId="1" fillId="10" borderId="39" xfId="0" applyFont="1" applyFill="1" applyBorder="1" applyAlignment="1" applyProtection="1">
      <alignment horizontal="center"/>
    </xf>
    <xf numFmtId="0" fontId="3" fillId="9" borderId="40" xfId="0" applyFont="1" applyFill="1" applyBorder="1"/>
    <xf numFmtId="0" fontId="3" fillId="9" borderId="39" xfId="0" applyFont="1" applyFill="1" applyBorder="1"/>
    <xf numFmtId="0" fontId="25" fillId="0" borderId="0" xfId="0" applyFont="1" applyAlignment="1">
      <alignment horizontal="center" vertical="center" wrapText="1"/>
    </xf>
    <xf numFmtId="0" fontId="1" fillId="0" borderId="0" xfId="0" quotePrefix="1" applyFont="1"/>
    <xf numFmtId="0" fontId="3" fillId="0" borderId="0" xfId="0" applyFont="1" applyAlignment="1" applyProtection="1">
      <alignment horizontal="left"/>
    </xf>
    <xf numFmtId="10" fontId="25" fillId="0" borderId="0" xfId="0" applyNumberFormat="1" applyFont="1" applyAlignment="1">
      <alignment horizontal="center" vertical="center" wrapText="1"/>
    </xf>
    <xf numFmtId="10" fontId="25" fillId="0" borderId="35" xfId="0" applyNumberFormat="1" applyFont="1" applyBorder="1" applyAlignment="1">
      <alignment horizontal="center" vertical="center"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5" fillId="0" borderId="0" xfId="0" quotePrefix="1" applyFont="1" applyFill="1"/>
    <xf numFmtId="0" fontId="1" fillId="11" borderId="38" xfId="0" applyFont="1" applyFill="1" applyBorder="1" applyAlignment="1" applyProtection="1">
      <alignment horizontal="center"/>
      <protection locked="0"/>
    </xf>
    <xf numFmtId="0" fontId="20" fillId="9" borderId="42" xfId="0" applyFont="1" applyFill="1" applyBorder="1" applyAlignment="1">
      <alignment horizontal="center" wrapText="1"/>
    </xf>
    <xf numFmtId="0" fontId="22" fillId="0" borderId="42" xfId="0" applyFont="1" applyBorder="1"/>
    <xf numFmtId="0" fontId="20" fillId="10" borderId="42" xfId="0" applyFont="1" applyFill="1" applyBorder="1" applyAlignment="1">
      <alignment horizontal="center" wrapText="1"/>
    </xf>
    <xf numFmtId="0" fontId="23" fillId="9" borderId="42" xfId="0" applyFont="1" applyFill="1" applyBorder="1" applyAlignment="1">
      <alignment horizontal="center" wrapText="1"/>
    </xf>
    <xf numFmtId="0" fontId="29" fillId="9" borderId="42" xfId="0" applyFont="1" applyFill="1" applyBorder="1" applyAlignment="1">
      <alignment horizontal="center" wrapText="1"/>
    </xf>
    <xf numFmtId="0" fontId="30" fillId="0" borderId="36" xfId="0" applyFont="1" applyBorder="1" applyAlignment="1">
      <alignment horizontal="center" wrapText="1"/>
    </xf>
    <xf numFmtId="0" fontId="20" fillId="10" borderId="41" xfId="0" applyFont="1" applyFill="1" applyBorder="1" applyAlignment="1">
      <alignment horizontal="center" wrapText="1"/>
    </xf>
    <xf numFmtId="0" fontId="23" fillId="9" borderId="41" xfId="0" applyFont="1" applyFill="1" applyBorder="1" applyAlignment="1">
      <alignment horizontal="center" wrapText="1"/>
    </xf>
    <xf numFmtId="0" fontId="20" fillId="10" borderId="0" xfId="0" applyFont="1" applyFill="1"/>
    <xf numFmtId="0" fontId="1" fillId="10" borderId="43" xfId="0" applyFont="1" applyFill="1" applyBorder="1" applyAlignment="1" applyProtection="1">
      <alignment horizontal="center"/>
    </xf>
    <xf numFmtId="2" fontId="1" fillId="0" borderId="0" xfId="0" applyNumberFormat="1" applyFont="1" applyAlignment="1" applyProtection="1">
      <alignment horizontal="center"/>
    </xf>
    <xf numFmtId="2" fontId="1" fillId="0" borderId="35" xfId="0" applyNumberFormat="1" applyFont="1" applyBorder="1" applyAlignment="1" applyProtection="1">
      <alignment horizontal="center"/>
    </xf>
    <xf numFmtId="0" fontId="1" fillId="0" borderId="0" xfId="0" applyFont="1" applyAlignment="1">
      <alignment horizontal="center"/>
    </xf>
    <xf numFmtId="164" fontId="25" fillId="9" borderId="39" xfId="0" applyNumberFormat="1" applyFont="1" applyFill="1" applyBorder="1" applyAlignment="1">
      <alignment horizontal="center" vertical="center" wrapText="1"/>
    </xf>
    <xf numFmtId="0" fontId="1" fillId="0" borderId="0" xfId="0" applyFont="1" applyAlignment="1">
      <alignment horizontal="center"/>
    </xf>
    <xf numFmtId="0" fontId="0" fillId="0" borderId="0" xfId="0" applyFill="1" applyAlignment="1">
      <alignment vertical="center"/>
    </xf>
    <xf numFmtId="0" fontId="6" fillId="0" borderId="5" xfId="0" applyFont="1" applyBorder="1" applyAlignment="1">
      <alignment horizontal="left"/>
    </xf>
    <xf numFmtId="0" fontId="6" fillId="0" borderId="2" xfId="0" applyFont="1" applyBorder="1" applyAlignment="1" applyProtection="1">
      <alignment horizontal="center" wrapText="1"/>
    </xf>
    <xf numFmtId="0" fontId="6" fillId="0" borderId="31" xfId="0" applyFont="1" applyBorder="1" applyAlignment="1"/>
    <xf numFmtId="0" fontId="1" fillId="0" borderId="0" xfId="0" applyFont="1" applyAlignment="1">
      <alignment horizontal="center"/>
    </xf>
    <xf numFmtId="0" fontId="1" fillId="0" borderId="0" xfId="0" applyFont="1" applyAlignment="1">
      <alignment horizontal="center"/>
    </xf>
    <xf numFmtId="0" fontId="6" fillId="5" borderId="18" xfId="0" applyFont="1" applyFill="1" applyBorder="1" applyAlignment="1" applyProtection="1">
      <alignment horizontal="center"/>
    </xf>
    <xf numFmtId="0" fontId="6" fillId="0" borderId="16" xfId="0" applyFont="1" applyBorder="1" applyAlignment="1">
      <alignment horizontal="left"/>
    </xf>
    <xf numFmtId="0" fontId="6" fillId="0" borderId="16" xfId="0" applyFont="1" applyBorder="1" applyAlignment="1"/>
    <xf numFmtId="0" fontId="6" fillId="5" borderId="9" xfId="0" applyFont="1" applyFill="1" applyBorder="1" applyAlignment="1">
      <alignment horizontal="center"/>
    </xf>
    <xf numFmtId="0" fontId="31" fillId="0" borderId="0" xfId="0" applyFont="1"/>
    <xf numFmtId="0" fontId="0" fillId="0" borderId="0" xfId="0" applyAlignment="1">
      <alignment horizontal="center" wrapText="1"/>
    </xf>
    <xf numFmtId="0" fontId="2" fillId="0" borderId="0" xfId="0" applyFont="1"/>
    <xf numFmtId="0" fontId="2" fillId="0" borderId="0" xfId="0" applyFont="1" applyAlignment="1">
      <alignment horizontal="center" wrapText="1"/>
    </xf>
    <xf numFmtId="0" fontId="32" fillId="0" borderId="0" xfId="0" applyFont="1"/>
    <xf numFmtId="0" fontId="0" fillId="11" borderId="51" xfId="0" applyFill="1" applyBorder="1" applyProtection="1">
      <protection locked="0"/>
    </xf>
    <xf numFmtId="0" fontId="0" fillId="11" borderId="34" xfId="0" applyFill="1" applyBorder="1" applyProtection="1">
      <protection locked="0"/>
    </xf>
    <xf numFmtId="0" fontId="0" fillId="11" borderId="52" xfId="0" applyFill="1" applyBorder="1" applyProtection="1">
      <protection locked="0"/>
    </xf>
    <xf numFmtId="0" fontId="0" fillId="11" borderId="53" xfId="0" applyFill="1" applyBorder="1" applyProtection="1">
      <protection locked="0"/>
    </xf>
    <xf numFmtId="0" fontId="0" fillId="11" borderId="0" xfId="0" applyFill="1" applyBorder="1" applyProtection="1">
      <protection locked="0"/>
    </xf>
    <xf numFmtId="0" fontId="0" fillId="11" borderId="54" xfId="0" applyFill="1" applyBorder="1" applyProtection="1">
      <protection locked="0"/>
    </xf>
    <xf numFmtId="0" fontId="0" fillId="11" borderId="55" xfId="0" applyFill="1" applyBorder="1" applyProtection="1">
      <protection locked="0"/>
    </xf>
    <xf numFmtId="0" fontId="0" fillId="11" borderId="36" xfId="0" applyFill="1" applyBorder="1" applyProtection="1">
      <protection locked="0"/>
    </xf>
    <xf numFmtId="164" fontId="0" fillId="11" borderId="56" xfId="0" applyNumberFormat="1" applyFill="1" applyBorder="1" applyProtection="1">
      <protection locked="0"/>
    </xf>
    <xf numFmtId="0" fontId="32" fillId="0" borderId="0" xfId="0" applyFont="1" applyAlignment="1">
      <alignment horizontal="center" wrapText="1"/>
    </xf>
    <xf numFmtId="0" fontId="0" fillId="11" borderId="0" xfId="0" applyFill="1" applyAlignment="1" applyProtection="1">
      <alignment horizontal="center"/>
      <protection locked="0"/>
    </xf>
    <xf numFmtId="0" fontId="1" fillId="0" borderId="37" xfId="0" applyFont="1" applyBorder="1"/>
    <xf numFmtId="0" fontId="27" fillId="0" borderId="50" xfId="0" applyFont="1" applyFill="1" applyBorder="1" applyAlignment="1">
      <alignment horizontal="center"/>
    </xf>
    <xf numFmtId="0" fontId="33" fillId="10" borderId="42" xfId="0" applyFont="1" applyFill="1" applyBorder="1" applyAlignment="1">
      <alignment horizontal="center" wrapText="1"/>
    </xf>
    <xf numFmtId="165" fontId="0" fillId="0" borderId="0" xfId="0" applyNumberFormat="1"/>
    <xf numFmtId="0" fontId="32" fillId="11" borderId="0" xfId="0" applyFont="1" applyFill="1" applyAlignment="1">
      <alignment horizontal="center"/>
    </xf>
    <xf numFmtId="0" fontId="1" fillId="10" borderId="37" xfId="0" applyFont="1" applyFill="1" applyBorder="1" applyAlignment="1" applyProtection="1">
      <alignment horizontal="center"/>
    </xf>
    <xf numFmtId="166" fontId="32" fillId="11" borderId="0" xfId="0" applyNumberFormat="1" applyFont="1" applyFill="1" applyAlignment="1">
      <alignment horizontal="center"/>
    </xf>
    <xf numFmtId="0" fontId="1" fillId="9" borderId="39" xfId="0" applyFont="1" applyFill="1" applyBorder="1" applyAlignment="1" applyProtection="1">
      <alignment horizontal="center"/>
    </xf>
    <xf numFmtId="0" fontId="1" fillId="9" borderId="40" xfId="0" applyFont="1" applyFill="1" applyBorder="1" applyAlignment="1" applyProtection="1">
      <alignment horizontal="center"/>
    </xf>
    <xf numFmtId="0" fontId="1" fillId="9" borderId="43" xfId="0" applyFont="1" applyFill="1" applyBorder="1" applyAlignment="1" applyProtection="1">
      <alignment horizontal="center"/>
    </xf>
    <xf numFmtId="0" fontId="5" fillId="11" borderId="28" xfId="0" applyFont="1" applyFill="1" applyBorder="1" applyAlignment="1" applyProtection="1">
      <alignment horizontal="center"/>
      <protection locked="0"/>
    </xf>
    <xf numFmtId="0" fontId="5" fillId="11" borderId="29" xfId="0" applyFont="1" applyFill="1" applyBorder="1" applyAlignment="1" applyProtection="1">
      <alignment horizontal="center"/>
      <protection locked="0"/>
    </xf>
    <xf numFmtId="0" fontId="5" fillId="11" borderId="30" xfId="0" applyFont="1" applyFill="1" applyBorder="1" applyAlignment="1" applyProtection="1">
      <alignment horizontal="center"/>
      <protection locked="0"/>
    </xf>
    <xf numFmtId="0" fontId="5" fillId="11" borderId="4" xfId="0" applyFont="1" applyFill="1" applyBorder="1" applyAlignment="1" applyProtection="1">
      <alignment horizontal="center"/>
      <protection locked="0"/>
    </xf>
    <xf numFmtId="0" fontId="5" fillId="11" borderId="5" xfId="0" applyFont="1" applyFill="1" applyBorder="1" applyAlignment="1" applyProtection="1">
      <alignment horizontal="center"/>
      <protection locked="0"/>
    </xf>
    <xf numFmtId="0" fontId="5" fillId="11" borderId="6" xfId="0" applyFont="1" applyFill="1" applyBorder="1" applyAlignment="1" applyProtection="1">
      <alignment horizontal="center"/>
      <protection locked="0"/>
    </xf>
    <xf numFmtId="0" fontId="7" fillId="11" borderId="5" xfId="0" applyFont="1" applyFill="1" applyBorder="1" applyAlignment="1" applyProtection="1">
      <alignment horizontal="center"/>
      <protection locked="0"/>
    </xf>
    <xf numFmtId="0" fontId="5" fillId="11" borderId="7" xfId="0" applyFont="1" applyFill="1" applyBorder="1" applyAlignment="1" applyProtection="1">
      <alignment horizontal="center"/>
      <protection locked="0"/>
    </xf>
    <xf numFmtId="0" fontId="5" fillId="11" borderId="8" xfId="0" applyFont="1" applyFill="1" applyBorder="1" applyAlignment="1" applyProtection="1">
      <alignment horizontal="center"/>
      <protection locked="0"/>
    </xf>
    <xf numFmtId="0" fontId="5" fillId="11" borderId="9" xfId="0" applyFont="1" applyFill="1" applyBorder="1" applyAlignment="1" applyProtection="1">
      <alignment horizontal="center"/>
      <protection locked="0"/>
    </xf>
    <xf numFmtId="0" fontId="1" fillId="11" borderId="0" xfId="0" applyFont="1" applyFill="1" applyBorder="1" applyAlignment="1" applyProtection="1">
      <alignment horizontal="center"/>
      <protection locked="0"/>
    </xf>
    <xf numFmtId="0" fontId="20" fillId="9" borderId="41" xfId="0" applyFont="1" applyFill="1" applyBorder="1" applyAlignment="1">
      <alignment horizontal="center" wrapText="1"/>
    </xf>
    <xf numFmtId="0" fontId="3" fillId="12" borderId="39" xfId="0" applyFont="1" applyFill="1" applyBorder="1" applyAlignment="1">
      <alignment horizontal="right" wrapText="1"/>
    </xf>
    <xf numFmtId="0" fontId="1" fillId="12" borderId="39" xfId="0" applyFont="1" applyFill="1" applyBorder="1" applyAlignment="1" applyProtection="1">
      <alignment horizontal="center"/>
    </xf>
    <xf numFmtId="0" fontId="1" fillId="13" borderId="39" xfId="0" applyFont="1" applyFill="1" applyBorder="1" applyAlignment="1" applyProtection="1">
      <alignment horizontal="center"/>
    </xf>
    <xf numFmtId="0" fontId="3" fillId="12" borderId="39" xfId="0" applyFont="1" applyFill="1" applyBorder="1" applyAlignment="1" applyProtection="1">
      <alignment horizontal="right"/>
    </xf>
    <xf numFmtId="0" fontId="1" fillId="0" borderId="37" xfId="0" applyFont="1" applyBorder="1" applyProtection="1"/>
    <xf numFmtId="0" fontId="13" fillId="0" borderId="0" xfId="0" applyFont="1" applyAlignment="1">
      <alignment horizontal="left" wrapText="1"/>
    </xf>
    <xf numFmtId="0" fontId="15" fillId="0" borderId="0" xfId="0" applyFont="1" applyAlignment="1">
      <alignment horizontal="left" wrapText="1"/>
    </xf>
    <xf numFmtId="0" fontId="16" fillId="0" borderId="0" xfId="1" applyAlignment="1" applyProtection="1">
      <alignment horizontal="left" wrapText="1"/>
    </xf>
    <xf numFmtId="0" fontId="0" fillId="0" borderId="0" xfId="0" applyAlignment="1">
      <alignment horizontal="left" vertical="top" wrapText="1"/>
    </xf>
    <xf numFmtId="0" fontId="0" fillId="0" borderId="0" xfId="0" applyAlignment="1">
      <alignment wrapText="1"/>
    </xf>
    <xf numFmtId="0" fontId="2" fillId="0" borderId="0" xfId="0" applyFont="1" applyAlignment="1">
      <alignment wrapText="1"/>
    </xf>
    <xf numFmtId="0" fontId="7" fillId="6" borderId="1" xfId="0" applyFont="1" applyFill="1" applyBorder="1" applyAlignment="1">
      <alignment horizontal="center"/>
    </xf>
    <xf numFmtId="0" fontId="7" fillId="6" borderId="2" xfId="0" applyFont="1" applyFill="1" applyBorder="1" applyAlignment="1">
      <alignment horizontal="center"/>
    </xf>
    <xf numFmtId="0" fontId="1" fillId="11" borderId="48" xfId="0" applyFont="1" applyFill="1" applyBorder="1" applyAlignment="1" applyProtection="1">
      <alignment horizontal="center"/>
      <protection locked="0"/>
    </xf>
    <xf numFmtId="0" fontId="1" fillId="11" borderId="49" xfId="0" applyFont="1" applyFill="1" applyBorder="1" applyAlignment="1" applyProtection="1">
      <alignment horizontal="center"/>
      <protection locked="0"/>
    </xf>
    <xf numFmtId="0" fontId="27" fillId="9" borderId="39" xfId="0" applyFont="1" applyFill="1" applyBorder="1" applyAlignment="1">
      <alignment horizontal="center"/>
    </xf>
    <xf numFmtId="0" fontId="20" fillId="10" borderId="46" xfId="0" applyFont="1" applyFill="1" applyBorder="1" applyAlignment="1">
      <alignment horizontal="center" wrapText="1"/>
    </xf>
    <xf numFmtId="0" fontId="20" fillId="10" borderId="47" xfId="0" applyFont="1" applyFill="1" applyBorder="1" applyAlignment="1">
      <alignment horizontal="center" wrapText="1"/>
    </xf>
    <xf numFmtId="0" fontId="27" fillId="9" borderId="44" xfId="0" applyFont="1" applyFill="1" applyBorder="1" applyAlignment="1">
      <alignment horizontal="center"/>
    </xf>
    <xf numFmtId="0" fontId="27" fillId="9" borderId="45" xfId="0" applyFont="1" applyFill="1" applyBorder="1" applyAlignment="1">
      <alignment horizontal="center"/>
    </xf>
    <xf numFmtId="0" fontId="27" fillId="9" borderId="50" xfId="0" applyFont="1" applyFill="1" applyBorder="1" applyAlignment="1">
      <alignment horizontal="center"/>
    </xf>
    <xf numFmtId="0" fontId="27" fillId="10" borderId="44" xfId="0" applyFont="1" applyFill="1" applyBorder="1" applyAlignment="1">
      <alignment horizontal="center"/>
    </xf>
    <xf numFmtId="0" fontId="27" fillId="10" borderId="45" xfId="0" applyFont="1" applyFill="1" applyBorder="1" applyAlignment="1">
      <alignment horizontal="center"/>
    </xf>
    <xf numFmtId="0" fontId="27" fillId="10" borderId="50" xfId="0" applyFont="1" applyFill="1" applyBorder="1" applyAlignment="1">
      <alignment horizontal="center"/>
    </xf>
    <xf numFmtId="0" fontId="25" fillId="0" borderId="0" xfId="0" quotePrefix="1" applyFont="1" applyFill="1" applyBorder="1" applyAlignment="1">
      <alignment horizontal="center" wrapText="1"/>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center"/>
    </xf>
    <xf numFmtId="0" fontId="4" fillId="3" borderId="14" xfId="0" applyFont="1" applyFill="1" applyBorder="1" applyAlignment="1">
      <alignment horizontal="center"/>
    </xf>
    <xf numFmtId="0" fontId="4" fillId="3" borderId="13" xfId="0" applyFont="1" applyFill="1" applyBorder="1" applyAlignment="1">
      <alignment horizontal="center"/>
    </xf>
    <xf numFmtId="0" fontId="4" fillId="3" borderId="15" xfId="0" applyFont="1" applyFill="1" applyBorder="1" applyAlignment="1">
      <alignment horizontal="center"/>
    </xf>
    <xf numFmtId="0" fontId="4" fillId="4" borderId="13" xfId="0" applyFont="1" applyFill="1" applyBorder="1" applyAlignment="1">
      <alignment horizontal="center"/>
    </xf>
    <xf numFmtId="0" fontId="4" fillId="4" borderId="15" xfId="0" applyFont="1" applyFill="1" applyBorder="1" applyAlignment="1">
      <alignment horizontal="center"/>
    </xf>
    <xf numFmtId="0" fontId="28" fillId="0" borderId="0" xfId="0" applyFont="1" applyAlignment="1">
      <alignment horizontal="center"/>
    </xf>
    <xf numFmtId="0" fontId="18" fillId="0" borderId="34" xfId="0" applyFont="1" applyFill="1" applyBorder="1" applyAlignment="1"/>
  </cellXfs>
  <cellStyles count="2">
    <cellStyle name="Hyperlink" xfId="1" builtinId="8"/>
    <cellStyle name="Normal" xfId="0" builtinId="0"/>
  </cellStyles>
  <dxfs count="118">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
      <fill>
        <patternFill>
          <bgColor rgb="FFFF0000"/>
        </patternFill>
      </fill>
    </dxf>
    <dxf>
      <fill>
        <patternFill>
          <bgColor rgb="FF99FFCC"/>
        </patternFill>
      </fill>
    </dxf>
  </dxfs>
  <tableStyles count="0" defaultTableStyle="TableStyleMedium2" defaultPivotStyle="PivotStyleLight16"/>
  <colors>
    <mruColors>
      <color rgb="FF66CCFF"/>
      <color rgb="FF33CCFF"/>
      <color rgb="FF99FFCC"/>
      <color rgb="FFFFFF99"/>
      <color rgb="FFCCFFCC"/>
      <color rgb="FF00FF99"/>
      <color rgb="FF66FFFF"/>
      <color rgb="FFCC99FF"/>
      <color rgb="FF00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xdr:col>
      <xdr:colOff>152400</xdr:colOff>
      <xdr:row>53</xdr:row>
      <xdr:rowOff>76200</xdr:rowOff>
    </xdr:from>
    <xdr:to>
      <xdr:col>13</xdr:col>
      <xdr:colOff>157163</xdr:colOff>
      <xdr:row>82</xdr:row>
      <xdr:rowOff>44406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752600" y="14058900"/>
          <a:ext cx="8548688" cy="5492706"/>
          <a:chOff x="7111999" y="11391926"/>
          <a:chExt cx="8348663" cy="5492708"/>
        </a:xfrm>
      </xdr:grpSpPr>
      <mc:AlternateContent xmlns:mc="http://schemas.openxmlformats.org/markup-compatibility/2006">
        <mc:Choice xmlns:a14="http://schemas.microsoft.com/office/drawing/2010/main" Requires="a14">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7126292" y="12390586"/>
                <a:ext cx="1650649" cy="1096180"/>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23554" name="Object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7574735" y="14869664"/>
                <a:ext cx="4274512" cy="817383"/>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23555" name="Object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8910519" y="13871696"/>
                <a:ext cx="1384467" cy="375426"/>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23556" name="Object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10818293" y="13877925"/>
                <a:ext cx="2033709" cy="466725"/>
              </a:xfrm>
              <a:prstGeom prst="rect">
                <a:avLst/>
              </a:prstGeom>
              <a:solidFill>
                <a:srgbClr val="FFFF99" mc:Ignorable="a14" a14:legacySpreadsheetColorIndex="43"/>
              </a:solidFill>
              <a:ln w="25400">
                <a:solidFill>
                  <a:srgbClr val="660066"/>
                </a:solidFill>
                <a:miter lim="800000"/>
                <a:headEnd/>
                <a:tailEnd/>
              </a:ln>
            </xdr:spPr>
          </xdr:sp>
        </mc:Choice>
        <mc:Fallback/>
      </mc:AlternateContent>
      <mc:AlternateContent xmlns:mc="http://schemas.openxmlformats.org/markup-compatibility/2006">
        <mc:Choice xmlns:a14="http://schemas.microsoft.com/office/drawing/2010/main" Requires="a14">
          <xdr:sp macro="" textlink="">
            <xdr:nvSpPr>
              <xdr:cNvPr id="23557" name="Object 5" hidden="1">
                <a:extLst>
                  <a:ext uri="{63B3BB69-23CF-44E3-9099-C40C66FF867C}">
                    <a14:compatExt spid="_x0000_s23557"/>
                  </a:ext>
                  <a:ext uri="{FF2B5EF4-FFF2-40B4-BE49-F238E27FC236}">
                    <a16:creationId xmlns:a16="http://schemas.microsoft.com/office/drawing/2014/main" id="{00000000-0008-0000-0300-0000055C0000}"/>
                  </a:ext>
                </a:extLst>
              </xdr:cNvPr>
              <xdr:cNvSpPr/>
            </xdr:nvSpPr>
            <xdr:spPr bwMode="auto">
              <a:xfrm>
                <a:off x="12348327" y="14506575"/>
                <a:ext cx="1406491" cy="485775"/>
              </a:xfrm>
              <a:prstGeom prst="rect">
                <a:avLst/>
              </a:prstGeom>
              <a:solidFill>
                <a:srgbClr val="FFFF99" mc:Ignorable="a14" a14:legacySpreadsheetColorIndex="43"/>
              </a:solidFill>
              <a:ln w="25400">
                <a:solidFill>
                  <a:srgbClr val="660066"/>
                </a:solidFill>
                <a:miter lim="800000"/>
                <a:headEnd/>
                <a:tailEnd/>
              </a:ln>
            </xdr:spPr>
          </xdr:sp>
        </mc:Choice>
        <mc:Fallback/>
      </mc:AlternateContent>
      <mc:AlternateContent xmlns:mc="http://schemas.openxmlformats.org/markup-compatibility/2006">
        <mc:Choice xmlns:a14="http://schemas.microsoft.com/office/drawing/2010/main" Requires="a14">
          <xdr:sp macro="" textlink="">
            <xdr:nvSpPr>
              <xdr:cNvPr id="23558" name="Object 6" hidden="1">
                <a:extLst>
                  <a:ext uri="{63B3BB69-23CF-44E3-9099-C40C66FF867C}">
                    <a14:compatExt spid="_x0000_s23558"/>
                  </a:ext>
                  <a:ext uri="{FF2B5EF4-FFF2-40B4-BE49-F238E27FC236}">
                    <a16:creationId xmlns:a16="http://schemas.microsoft.com/office/drawing/2014/main" id="{00000000-0008-0000-0300-0000065C0000}"/>
                  </a:ext>
                </a:extLst>
              </xdr:cNvPr>
              <xdr:cNvSpPr/>
            </xdr:nvSpPr>
            <xdr:spPr bwMode="auto">
              <a:xfrm>
                <a:off x="7111999" y="11391926"/>
                <a:ext cx="8348663" cy="949421"/>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23559" name="Object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10704288" y="12441277"/>
                <a:ext cx="3139095" cy="665311"/>
              </a:xfrm>
              <a:prstGeom prst="rect">
                <a:avLst/>
              </a:prstGeom>
              <a:solidFill>
                <a:srgbClr val="FFFFFF" mc:Ignorable="a14" a14:legacySpreadsheetColorIndex="65"/>
              </a:solidFill>
              <a:ln w="25400">
                <a:solidFill>
                  <a:srgbClr val="660066"/>
                </a:solidFill>
                <a:miter lim="800000"/>
                <a:headEnd/>
                <a:tailEnd/>
              </a:ln>
            </xdr:spPr>
          </xdr:sp>
        </mc:Choice>
        <mc:Fallback/>
      </mc:AlternateContent>
      <xdr:cxnSp macro="">
        <xdr:nvCxnSpPr>
          <xdr:cNvPr id="10" name="Straight Arrow Connector 9">
            <a:extLst>
              <a:ext uri="{FF2B5EF4-FFF2-40B4-BE49-F238E27FC236}">
                <a16:creationId xmlns:a16="http://schemas.microsoft.com/office/drawing/2014/main" id="{00000000-0008-0000-0300-00000A000000}"/>
              </a:ext>
            </a:extLst>
          </xdr:cNvPr>
          <xdr:cNvCxnSpPr/>
        </xdr:nvCxnSpPr>
        <xdr:spPr>
          <a:xfrm flipH="1">
            <a:off x="10084102" y="14289893"/>
            <a:ext cx="887343" cy="627294"/>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00000000-0008-0000-0300-00000B000000}"/>
              </a:ext>
            </a:extLst>
          </xdr:cNvPr>
          <xdr:cNvCxnSpPr/>
        </xdr:nvCxnSpPr>
        <xdr:spPr>
          <a:xfrm flipH="1">
            <a:off x="11286309" y="14832968"/>
            <a:ext cx="963676" cy="255299"/>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300-00000C000000}"/>
              </a:ext>
            </a:extLst>
          </xdr:cNvPr>
          <xdr:cNvCxnSpPr/>
        </xdr:nvCxnSpPr>
        <xdr:spPr>
          <a:xfrm flipH="1">
            <a:off x="10141351" y="13130350"/>
            <a:ext cx="925507" cy="779365"/>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mc:Choice xmlns:a14="http://schemas.microsoft.com/office/drawing/2010/main" Requires="a14">
          <xdr:sp macro="" textlink="">
            <xdr:nvSpPr>
              <xdr:cNvPr id="23560" name="Object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7660607" y="16304862"/>
                <a:ext cx="2716096" cy="579772"/>
              </a:xfrm>
              <a:prstGeom prst="rect">
                <a:avLst/>
              </a:prstGeom>
              <a:solidFill>
                <a:srgbClr val="FFFFFF" mc:Ignorable="a14" a14:legacySpreadsheetColorIndex="65"/>
              </a:solidFill>
              <a:ln w="25400">
                <a:solidFill>
                  <a:srgbClr val="660066"/>
                </a:solidFill>
                <a:miter lim="800000"/>
                <a:headEnd/>
                <a:tailEnd/>
              </a:ln>
            </xdr:spPr>
          </xdr:sp>
        </mc:Choice>
        <mc:Fallback/>
      </mc:AlternateContent>
      <xdr:cxnSp macro="">
        <xdr:nvCxnSpPr>
          <xdr:cNvPr id="14" name="Straight Arrow Connector 13">
            <a:extLst>
              <a:ext uri="{FF2B5EF4-FFF2-40B4-BE49-F238E27FC236}">
                <a16:creationId xmlns:a16="http://schemas.microsoft.com/office/drawing/2014/main" id="{00000000-0008-0000-0300-00000E000000}"/>
              </a:ext>
            </a:extLst>
          </xdr:cNvPr>
          <xdr:cNvCxnSpPr/>
        </xdr:nvCxnSpPr>
        <xdr:spPr>
          <a:xfrm flipH="1" flipV="1">
            <a:off x="8404831" y="15477949"/>
            <a:ext cx="9540" cy="807878"/>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Straight Arrow Connector 14">
            <a:extLst>
              <a:ext uri="{FF2B5EF4-FFF2-40B4-BE49-F238E27FC236}">
                <a16:creationId xmlns:a16="http://schemas.microsoft.com/office/drawing/2014/main" id="{00000000-0008-0000-0300-00000F000000}"/>
              </a:ext>
            </a:extLst>
          </xdr:cNvPr>
          <xdr:cNvCxnSpPr/>
        </xdr:nvCxnSpPr>
        <xdr:spPr>
          <a:xfrm flipH="1">
            <a:off x="9207500" y="14274800"/>
            <a:ext cx="323850" cy="647700"/>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53</xdr:row>
      <xdr:rowOff>76200</xdr:rowOff>
    </xdr:from>
    <xdr:to>
      <xdr:col>13</xdr:col>
      <xdr:colOff>157163</xdr:colOff>
      <xdr:row>82</xdr:row>
      <xdr:rowOff>44406</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752600" y="13839825"/>
          <a:ext cx="8548688" cy="5492706"/>
          <a:chOff x="7111999" y="11391926"/>
          <a:chExt cx="8348663" cy="5492708"/>
        </a:xfrm>
      </xdr:grpSpPr>
      <mc:AlternateContent xmlns:mc="http://schemas.openxmlformats.org/markup-compatibility/2006">
        <mc:Choice xmlns:a14="http://schemas.microsoft.com/office/drawing/2010/main" Requires="a14">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7126292" y="12390586"/>
                <a:ext cx="1650649" cy="1096180"/>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22530" name="Object 2" hidden="1">
                <a:extLst>
                  <a:ext uri="{63B3BB69-23CF-44E3-9099-C40C66FF867C}">
                    <a14:compatExt spid="_x0000_s22530"/>
                  </a:ext>
                  <a:ext uri="{FF2B5EF4-FFF2-40B4-BE49-F238E27FC236}">
                    <a16:creationId xmlns:a16="http://schemas.microsoft.com/office/drawing/2014/main" id="{00000000-0008-0000-0400-000002580000}"/>
                  </a:ext>
                </a:extLst>
              </xdr:cNvPr>
              <xdr:cNvSpPr/>
            </xdr:nvSpPr>
            <xdr:spPr bwMode="auto">
              <a:xfrm>
                <a:off x="7574735" y="14869664"/>
                <a:ext cx="4274512" cy="817383"/>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22531" name="Object 3" hidden="1">
                <a:extLst>
                  <a:ext uri="{63B3BB69-23CF-44E3-9099-C40C66FF867C}">
                    <a14:compatExt spid="_x0000_s22531"/>
                  </a:ext>
                  <a:ext uri="{FF2B5EF4-FFF2-40B4-BE49-F238E27FC236}">
                    <a16:creationId xmlns:a16="http://schemas.microsoft.com/office/drawing/2014/main" id="{00000000-0008-0000-0400-000003580000}"/>
                  </a:ext>
                </a:extLst>
              </xdr:cNvPr>
              <xdr:cNvSpPr/>
            </xdr:nvSpPr>
            <xdr:spPr bwMode="auto">
              <a:xfrm>
                <a:off x="8910519" y="13871696"/>
                <a:ext cx="1384467" cy="375426"/>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22532" name="Object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10818293" y="13877925"/>
                <a:ext cx="2033709" cy="466725"/>
              </a:xfrm>
              <a:prstGeom prst="rect">
                <a:avLst/>
              </a:prstGeom>
              <a:solidFill>
                <a:srgbClr val="FFFF99" mc:Ignorable="a14" a14:legacySpreadsheetColorIndex="43"/>
              </a:solidFill>
              <a:ln w="25400">
                <a:solidFill>
                  <a:srgbClr val="660066"/>
                </a:solidFill>
                <a:miter lim="800000"/>
                <a:headEnd/>
                <a:tailEnd/>
              </a:ln>
            </xdr:spPr>
          </xdr:sp>
        </mc:Choice>
        <mc:Fallback/>
      </mc:AlternateContent>
      <mc:AlternateContent xmlns:mc="http://schemas.openxmlformats.org/markup-compatibility/2006">
        <mc:Choice xmlns:a14="http://schemas.microsoft.com/office/drawing/2010/main" Requires="a14">
          <xdr:sp macro="" textlink="">
            <xdr:nvSpPr>
              <xdr:cNvPr id="22533" name="Object 5"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12348327" y="14506575"/>
                <a:ext cx="1406491" cy="485775"/>
              </a:xfrm>
              <a:prstGeom prst="rect">
                <a:avLst/>
              </a:prstGeom>
              <a:solidFill>
                <a:srgbClr val="FFFF99" mc:Ignorable="a14" a14:legacySpreadsheetColorIndex="43"/>
              </a:solidFill>
              <a:ln w="25400">
                <a:solidFill>
                  <a:srgbClr val="660066"/>
                </a:solidFill>
                <a:miter lim="800000"/>
                <a:headEnd/>
                <a:tailEnd/>
              </a:ln>
            </xdr:spPr>
          </xdr:sp>
        </mc:Choice>
        <mc:Fallback/>
      </mc:AlternateContent>
      <mc:AlternateContent xmlns:mc="http://schemas.openxmlformats.org/markup-compatibility/2006">
        <mc:Choice xmlns:a14="http://schemas.microsoft.com/office/drawing/2010/main" Requires="a14">
          <xdr:sp macro="" textlink="">
            <xdr:nvSpPr>
              <xdr:cNvPr id="22534" name="Object 6" hidden="1">
                <a:extLst>
                  <a:ext uri="{63B3BB69-23CF-44E3-9099-C40C66FF867C}">
                    <a14:compatExt spid="_x0000_s22534"/>
                  </a:ext>
                  <a:ext uri="{FF2B5EF4-FFF2-40B4-BE49-F238E27FC236}">
                    <a16:creationId xmlns:a16="http://schemas.microsoft.com/office/drawing/2014/main" id="{00000000-0008-0000-0400-000006580000}"/>
                  </a:ext>
                </a:extLst>
              </xdr:cNvPr>
              <xdr:cNvSpPr/>
            </xdr:nvSpPr>
            <xdr:spPr bwMode="auto">
              <a:xfrm>
                <a:off x="7111999" y="11391926"/>
                <a:ext cx="8348663" cy="949421"/>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22535" name="Object 7" hidden="1">
                <a:extLst>
                  <a:ext uri="{63B3BB69-23CF-44E3-9099-C40C66FF867C}">
                    <a14:compatExt spid="_x0000_s22535"/>
                  </a:ext>
                  <a:ext uri="{FF2B5EF4-FFF2-40B4-BE49-F238E27FC236}">
                    <a16:creationId xmlns:a16="http://schemas.microsoft.com/office/drawing/2014/main" id="{00000000-0008-0000-0400-000007580000}"/>
                  </a:ext>
                </a:extLst>
              </xdr:cNvPr>
              <xdr:cNvSpPr/>
            </xdr:nvSpPr>
            <xdr:spPr bwMode="auto">
              <a:xfrm>
                <a:off x="10704288" y="12441277"/>
                <a:ext cx="3139095" cy="665311"/>
              </a:xfrm>
              <a:prstGeom prst="rect">
                <a:avLst/>
              </a:prstGeom>
              <a:solidFill>
                <a:srgbClr val="FFFFFF" mc:Ignorable="a14" a14:legacySpreadsheetColorIndex="65"/>
              </a:solidFill>
              <a:ln w="25400">
                <a:solidFill>
                  <a:srgbClr val="660066"/>
                </a:solidFill>
                <a:miter lim="800000"/>
                <a:headEnd/>
                <a:tailEnd/>
              </a:ln>
            </xdr:spPr>
          </xdr:sp>
        </mc:Choice>
        <mc:Fallback/>
      </mc:AlternateContent>
      <xdr:cxnSp macro="">
        <xdr:nvCxnSpPr>
          <xdr:cNvPr id="10" name="Straight Arrow Connector 9">
            <a:extLst>
              <a:ext uri="{FF2B5EF4-FFF2-40B4-BE49-F238E27FC236}">
                <a16:creationId xmlns:a16="http://schemas.microsoft.com/office/drawing/2014/main" id="{00000000-0008-0000-0400-00000A000000}"/>
              </a:ext>
            </a:extLst>
          </xdr:cNvPr>
          <xdr:cNvCxnSpPr/>
        </xdr:nvCxnSpPr>
        <xdr:spPr>
          <a:xfrm flipH="1">
            <a:off x="10084102" y="14289893"/>
            <a:ext cx="887343" cy="627294"/>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00000000-0008-0000-0400-00000B000000}"/>
              </a:ext>
            </a:extLst>
          </xdr:cNvPr>
          <xdr:cNvCxnSpPr/>
        </xdr:nvCxnSpPr>
        <xdr:spPr>
          <a:xfrm flipH="1">
            <a:off x="11286309" y="14832968"/>
            <a:ext cx="963676" cy="255299"/>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flipH="1">
            <a:off x="10141351" y="13130350"/>
            <a:ext cx="925507" cy="779365"/>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mc:Choice xmlns:a14="http://schemas.microsoft.com/office/drawing/2010/main" Requires="a14">
          <xdr:sp macro="" textlink="">
            <xdr:nvSpPr>
              <xdr:cNvPr id="22536" name="Object 8" hidden="1">
                <a:extLst>
                  <a:ext uri="{63B3BB69-23CF-44E3-9099-C40C66FF867C}">
                    <a14:compatExt spid="_x0000_s22536"/>
                  </a:ext>
                  <a:ext uri="{FF2B5EF4-FFF2-40B4-BE49-F238E27FC236}">
                    <a16:creationId xmlns:a16="http://schemas.microsoft.com/office/drawing/2014/main" id="{00000000-0008-0000-0400-000008580000}"/>
                  </a:ext>
                </a:extLst>
              </xdr:cNvPr>
              <xdr:cNvSpPr/>
            </xdr:nvSpPr>
            <xdr:spPr bwMode="auto">
              <a:xfrm>
                <a:off x="7660607" y="16304862"/>
                <a:ext cx="2716096" cy="579772"/>
              </a:xfrm>
              <a:prstGeom prst="rect">
                <a:avLst/>
              </a:prstGeom>
              <a:solidFill>
                <a:srgbClr val="FFFFFF" mc:Ignorable="a14" a14:legacySpreadsheetColorIndex="65"/>
              </a:solidFill>
              <a:ln w="25400">
                <a:solidFill>
                  <a:srgbClr val="660066"/>
                </a:solidFill>
                <a:miter lim="800000"/>
                <a:headEnd/>
                <a:tailEnd/>
              </a:ln>
            </xdr:spPr>
          </xdr:sp>
        </mc:Choice>
        <mc:Fallback/>
      </mc:AlternateContent>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H="1" flipV="1">
            <a:off x="8404831" y="15477949"/>
            <a:ext cx="9540" cy="807878"/>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flipH="1">
            <a:off x="9207500" y="14274800"/>
            <a:ext cx="323850" cy="647700"/>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152400</xdr:colOff>
      <xdr:row>50</xdr:row>
      <xdr:rowOff>47625</xdr:rowOff>
    </xdr:from>
    <xdr:to>
      <xdr:col>13</xdr:col>
      <xdr:colOff>157163</xdr:colOff>
      <xdr:row>79</xdr:row>
      <xdr:rowOff>15831</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1752600" y="13182600"/>
          <a:ext cx="8548688" cy="5492706"/>
          <a:chOff x="7111999" y="11391926"/>
          <a:chExt cx="8348663" cy="5492708"/>
        </a:xfrm>
      </xdr:grpSpPr>
      <mc:AlternateContent xmlns:mc="http://schemas.openxmlformats.org/markup-compatibility/2006">
        <mc:Choice xmlns:a14="http://schemas.microsoft.com/office/drawing/2010/main" Requires="a14">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500-000001780000}"/>
                  </a:ext>
                </a:extLst>
              </xdr:cNvPr>
              <xdr:cNvSpPr/>
            </xdr:nvSpPr>
            <xdr:spPr bwMode="auto">
              <a:xfrm>
                <a:off x="7126292" y="12390586"/>
                <a:ext cx="1650649" cy="1096180"/>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30722" name="Object 2" hidden="1">
                <a:extLst>
                  <a:ext uri="{63B3BB69-23CF-44E3-9099-C40C66FF867C}">
                    <a14:compatExt spid="_x0000_s30722"/>
                  </a:ext>
                  <a:ext uri="{FF2B5EF4-FFF2-40B4-BE49-F238E27FC236}">
                    <a16:creationId xmlns:a16="http://schemas.microsoft.com/office/drawing/2014/main" id="{00000000-0008-0000-0500-000002780000}"/>
                  </a:ext>
                </a:extLst>
              </xdr:cNvPr>
              <xdr:cNvSpPr/>
            </xdr:nvSpPr>
            <xdr:spPr bwMode="auto">
              <a:xfrm>
                <a:off x="7574735" y="14869664"/>
                <a:ext cx="4274512" cy="817383"/>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30723" name="Object 3" hidden="1">
                <a:extLst>
                  <a:ext uri="{63B3BB69-23CF-44E3-9099-C40C66FF867C}">
                    <a14:compatExt spid="_x0000_s30723"/>
                  </a:ext>
                  <a:ext uri="{FF2B5EF4-FFF2-40B4-BE49-F238E27FC236}">
                    <a16:creationId xmlns:a16="http://schemas.microsoft.com/office/drawing/2014/main" id="{00000000-0008-0000-0500-000003780000}"/>
                  </a:ext>
                </a:extLst>
              </xdr:cNvPr>
              <xdr:cNvSpPr/>
            </xdr:nvSpPr>
            <xdr:spPr bwMode="auto">
              <a:xfrm>
                <a:off x="8910519" y="13871696"/>
                <a:ext cx="1384467" cy="375426"/>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30724" name="Object 4" hidden="1">
                <a:extLst>
                  <a:ext uri="{63B3BB69-23CF-44E3-9099-C40C66FF867C}">
                    <a14:compatExt spid="_x0000_s30724"/>
                  </a:ext>
                  <a:ext uri="{FF2B5EF4-FFF2-40B4-BE49-F238E27FC236}">
                    <a16:creationId xmlns:a16="http://schemas.microsoft.com/office/drawing/2014/main" id="{00000000-0008-0000-0500-000004780000}"/>
                  </a:ext>
                </a:extLst>
              </xdr:cNvPr>
              <xdr:cNvSpPr/>
            </xdr:nvSpPr>
            <xdr:spPr bwMode="auto">
              <a:xfrm>
                <a:off x="10818293" y="13877925"/>
                <a:ext cx="2033709" cy="466725"/>
              </a:xfrm>
              <a:prstGeom prst="rect">
                <a:avLst/>
              </a:prstGeom>
              <a:solidFill>
                <a:srgbClr val="FFFF99" mc:Ignorable="a14" a14:legacySpreadsheetColorIndex="43"/>
              </a:solidFill>
              <a:ln w="25400">
                <a:solidFill>
                  <a:srgbClr val="660066"/>
                </a:solidFill>
                <a:miter lim="800000"/>
                <a:headEnd/>
                <a:tailEnd/>
              </a:ln>
            </xdr:spPr>
          </xdr:sp>
        </mc:Choice>
        <mc:Fallback/>
      </mc:AlternateContent>
      <mc:AlternateContent xmlns:mc="http://schemas.openxmlformats.org/markup-compatibility/2006">
        <mc:Choice xmlns:a14="http://schemas.microsoft.com/office/drawing/2010/main" Requires="a14">
          <xdr:sp macro="" textlink="">
            <xdr:nvSpPr>
              <xdr:cNvPr id="30725" name="Object 5" hidden="1">
                <a:extLst>
                  <a:ext uri="{63B3BB69-23CF-44E3-9099-C40C66FF867C}">
                    <a14:compatExt spid="_x0000_s30725"/>
                  </a:ext>
                  <a:ext uri="{FF2B5EF4-FFF2-40B4-BE49-F238E27FC236}">
                    <a16:creationId xmlns:a16="http://schemas.microsoft.com/office/drawing/2014/main" id="{00000000-0008-0000-0500-000005780000}"/>
                  </a:ext>
                </a:extLst>
              </xdr:cNvPr>
              <xdr:cNvSpPr/>
            </xdr:nvSpPr>
            <xdr:spPr bwMode="auto">
              <a:xfrm>
                <a:off x="12348327" y="14506575"/>
                <a:ext cx="1406491" cy="485775"/>
              </a:xfrm>
              <a:prstGeom prst="rect">
                <a:avLst/>
              </a:prstGeom>
              <a:solidFill>
                <a:srgbClr val="FFFF99" mc:Ignorable="a14" a14:legacySpreadsheetColorIndex="43"/>
              </a:solidFill>
              <a:ln w="25400">
                <a:solidFill>
                  <a:srgbClr val="660066"/>
                </a:solidFill>
                <a:miter lim="800000"/>
                <a:headEnd/>
                <a:tailEnd/>
              </a:ln>
            </xdr:spPr>
          </xdr:sp>
        </mc:Choice>
        <mc:Fallback/>
      </mc:AlternateContent>
      <mc:AlternateContent xmlns:mc="http://schemas.openxmlformats.org/markup-compatibility/2006">
        <mc:Choice xmlns:a14="http://schemas.microsoft.com/office/drawing/2010/main" Requires="a14">
          <xdr:sp macro="" textlink="">
            <xdr:nvSpPr>
              <xdr:cNvPr id="30726" name="Object 6" hidden="1">
                <a:extLst>
                  <a:ext uri="{63B3BB69-23CF-44E3-9099-C40C66FF867C}">
                    <a14:compatExt spid="_x0000_s30726"/>
                  </a:ext>
                  <a:ext uri="{FF2B5EF4-FFF2-40B4-BE49-F238E27FC236}">
                    <a16:creationId xmlns:a16="http://schemas.microsoft.com/office/drawing/2014/main" id="{00000000-0008-0000-0500-000006780000}"/>
                  </a:ext>
                </a:extLst>
              </xdr:cNvPr>
              <xdr:cNvSpPr/>
            </xdr:nvSpPr>
            <xdr:spPr bwMode="auto">
              <a:xfrm>
                <a:off x="7111999" y="11391926"/>
                <a:ext cx="8348663" cy="949421"/>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30727" name="Object 7" hidden="1">
                <a:extLst>
                  <a:ext uri="{63B3BB69-23CF-44E3-9099-C40C66FF867C}">
                    <a14:compatExt spid="_x0000_s30727"/>
                  </a:ext>
                  <a:ext uri="{FF2B5EF4-FFF2-40B4-BE49-F238E27FC236}">
                    <a16:creationId xmlns:a16="http://schemas.microsoft.com/office/drawing/2014/main" id="{00000000-0008-0000-0500-000007780000}"/>
                  </a:ext>
                </a:extLst>
              </xdr:cNvPr>
              <xdr:cNvSpPr/>
            </xdr:nvSpPr>
            <xdr:spPr bwMode="auto">
              <a:xfrm>
                <a:off x="10704288" y="12441277"/>
                <a:ext cx="3139095" cy="665311"/>
              </a:xfrm>
              <a:prstGeom prst="rect">
                <a:avLst/>
              </a:prstGeom>
              <a:solidFill>
                <a:srgbClr val="FFFFFF" mc:Ignorable="a14" a14:legacySpreadsheetColorIndex="65"/>
              </a:solidFill>
              <a:ln w="25400">
                <a:solidFill>
                  <a:srgbClr val="660066"/>
                </a:solidFill>
                <a:miter lim="800000"/>
                <a:headEnd/>
                <a:tailEnd/>
              </a:ln>
            </xdr:spPr>
          </xdr:sp>
        </mc:Choice>
        <mc:Fallback/>
      </mc:AlternateContent>
      <xdr:cxnSp macro="">
        <xdr:nvCxnSpPr>
          <xdr:cNvPr id="10" name="Straight Arrow Connector 9">
            <a:extLst>
              <a:ext uri="{FF2B5EF4-FFF2-40B4-BE49-F238E27FC236}">
                <a16:creationId xmlns:a16="http://schemas.microsoft.com/office/drawing/2014/main" id="{00000000-0008-0000-0500-00000A000000}"/>
              </a:ext>
            </a:extLst>
          </xdr:cNvPr>
          <xdr:cNvCxnSpPr/>
        </xdr:nvCxnSpPr>
        <xdr:spPr>
          <a:xfrm flipH="1">
            <a:off x="10084102" y="14289893"/>
            <a:ext cx="887343" cy="627294"/>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00000000-0008-0000-0500-00000B000000}"/>
              </a:ext>
            </a:extLst>
          </xdr:cNvPr>
          <xdr:cNvCxnSpPr/>
        </xdr:nvCxnSpPr>
        <xdr:spPr>
          <a:xfrm flipH="1">
            <a:off x="11286309" y="14832968"/>
            <a:ext cx="963676" cy="255299"/>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flipH="1">
            <a:off x="10141351" y="13130350"/>
            <a:ext cx="925507" cy="779365"/>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mc:Choice xmlns:a14="http://schemas.microsoft.com/office/drawing/2010/main" Requires="a14">
          <xdr:sp macro="" textlink="">
            <xdr:nvSpPr>
              <xdr:cNvPr id="30728" name="Object 8" hidden="1">
                <a:extLst>
                  <a:ext uri="{63B3BB69-23CF-44E3-9099-C40C66FF867C}">
                    <a14:compatExt spid="_x0000_s30728"/>
                  </a:ext>
                  <a:ext uri="{FF2B5EF4-FFF2-40B4-BE49-F238E27FC236}">
                    <a16:creationId xmlns:a16="http://schemas.microsoft.com/office/drawing/2014/main" id="{00000000-0008-0000-0500-000008780000}"/>
                  </a:ext>
                </a:extLst>
              </xdr:cNvPr>
              <xdr:cNvSpPr/>
            </xdr:nvSpPr>
            <xdr:spPr bwMode="auto">
              <a:xfrm>
                <a:off x="7660607" y="16304862"/>
                <a:ext cx="2716096" cy="579772"/>
              </a:xfrm>
              <a:prstGeom prst="rect">
                <a:avLst/>
              </a:prstGeom>
              <a:solidFill>
                <a:srgbClr val="FFFFFF" mc:Ignorable="a14" a14:legacySpreadsheetColorIndex="65"/>
              </a:solidFill>
              <a:ln w="25400">
                <a:solidFill>
                  <a:srgbClr val="660066"/>
                </a:solidFill>
                <a:miter lim="800000"/>
                <a:headEnd/>
                <a:tailEnd/>
              </a:ln>
            </xdr:spPr>
          </xdr:sp>
        </mc:Choice>
        <mc:Fallback/>
      </mc:AlternateContent>
      <xdr:cxnSp macro="">
        <xdr:nvCxnSpPr>
          <xdr:cNvPr id="14" name="Straight Arrow Connector 13">
            <a:extLst>
              <a:ext uri="{FF2B5EF4-FFF2-40B4-BE49-F238E27FC236}">
                <a16:creationId xmlns:a16="http://schemas.microsoft.com/office/drawing/2014/main" id="{00000000-0008-0000-0500-00000E000000}"/>
              </a:ext>
            </a:extLst>
          </xdr:cNvPr>
          <xdr:cNvCxnSpPr/>
        </xdr:nvCxnSpPr>
        <xdr:spPr>
          <a:xfrm flipH="1" flipV="1">
            <a:off x="8404831" y="15477949"/>
            <a:ext cx="9540" cy="807878"/>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Straight Arrow Connector 14">
            <a:extLst>
              <a:ext uri="{FF2B5EF4-FFF2-40B4-BE49-F238E27FC236}">
                <a16:creationId xmlns:a16="http://schemas.microsoft.com/office/drawing/2014/main" id="{00000000-0008-0000-0500-00000F000000}"/>
              </a:ext>
            </a:extLst>
          </xdr:cNvPr>
          <xdr:cNvCxnSpPr/>
        </xdr:nvCxnSpPr>
        <xdr:spPr>
          <a:xfrm flipH="1">
            <a:off x="9207500" y="14274800"/>
            <a:ext cx="323850" cy="647700"/>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nist.gov/labmetr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18"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oleObject" Target="../embeddings/oleObject5.bin"/><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19" Type="http://schemas.openxmlformats.org/officeDocument/2006/relationships/image" Target="../media/image8.emf"/><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11.bin"/><Relationship Id="rId13" Type="http://schemas.openxmlformats.org/officeDocument/2006/relationships/image" Target="../media/image5.emf"/><Relationship Id="rId18" Type="http://schemas.openxmlformats.org/officeDocument/2006/relationships/oleObject" Target="../embeddings/oleObject16.bin"/><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oleObject" Target="../embeddings/oleObject13.bin"/><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oleObject" Target="../embeddings/oleObject15.bin"/><Relationship Id="rId20"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oleObject" Target="../embeddings/oleObject10.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12.bin"/><Relationship Id="rId19" Type="http://schemas.openxmlformats.org/officeDocument/2006/relationships/image" Target="../media/image8.emf"/><Relationship Id="rId4" Type="http://schemas.openxmlformats.org/officeDocument/2006/relationships/oleObject" Target="../embeddings/oleObject9.bin"/><Relationship Id="rId9" Type="http://schemas.openxmlformats.org/officeDocument/2006/relationships/image" Target="../media/image3.emf"/><Relationship Id="rId14" Type="http://schemas.openxmlformats.org/officeDocument/2006/relationships/oleObject" Target="../embeddings/oleObject14.bin"/></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19.bin"/><Relationship Id="rId13" Type="http://schemas.openxmlformats.org/officeDocument/2006/relationships/image" Target="../media/image5.emf"/><Relationship Id="rId18" Type="http://schemas.openxmlformats.org/officeDocument/2006/relationships/oleObject" Target="../embeddings/oleObject24.bin"/><Relationship Id="rId3" Type="http://schemas.openxmlformats.org/officeDocument/2006/relationships/vmlDrawing" Target="../drawings/vmlDrawing3.vml"/><Relationship Id="rId7" Type="http://schemas.openxmlformats.org/officeDocument/2006/relationships/image" Target="../media/image2.emf"/><Relationship Id="rId12" Type="http://schemas.openxmlformats.org/officeDocument/2006/relationships/oleObject" Target="../embeddings/oleObject21.bin"/><Relationship Id="rId17" Type="http://schemas.openxmlformats.org/officeDocument/2006/relationships/image" Target="../media/image7.emf"/><Relationship Id="rId2" Type="http://schemas.openxmlformats.org/officeDocument/2006/relationships/drawing" Target="../drawings/drawing3.xml"/><Relationship Id="rId16" Type="http://schemas.openxmlformats.org/officeDocument/2006/relationships/oleObject" Target="../embeddings/oleObject23.bin"/><Relationship Id="rId20"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oleObject" Target="../embeddings/oleObject18.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20.bin"/><Relationship Id="rId19" Type="http://schemas.openxmlformats.org/officeDocument/2006/relationships/image" Target="../media/image8.emf"/><Relationship Id="rId4" Type="http://schemas.openxmlformats.org/officeDocument/2006/relationships/oleObject" Target="../embeddings/oleObject17.bin"/><Relationship Id="rId9" Type="http://schemas.openxmlformats.org/officeDocument/2006/relationships/image" Target="../media/image3.emf"/><Relationship Id="rId14" Type="http://schemas.openxmlformats.org/officeDocument/2006/relationships/oleObject" Target="../embeddings/oleObject2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L5"/>
  <sheetViews>
    <sheetView tabSelected="1" workbookViewId="0"/>
  </sheetViews>
  <sheetFormatPr defaultColWidth="0" defaultRowHeight="10.15" customHeight="1" x14ac:dyDescent="0.25"/>
  <cols>
    <col min="1" max="11" width="9.140625" style="55" customWidth="1"/>
    <col min="12" max="12" width="2.85546875" customWidth="1"/>
    <col min="13" max="16384" width="9.140625" hidden="1"/>
  </cols>
  <sheetData>
    <row r="2" spans="1:11" ht="22.9" customHeight="1" x14ac:dyDescent="0.25">
      <c r="A2" s="56" t="s">
        <v>40</v>
      </c>
      <c r="B2" s="57"/>
      <c r="C2" s="57"/>
      <c r="D2" s="57"/>
      <c r="E2" s="57"/>
      <c r="F2" s="57"/>
      <c r="G2" s="57"/>
      <c r="H2" s="57"/>
      <c r="I2" s="57"/>
      <c r="J2" s="57"/>
      <c r="K2" s="58"/>
    </row>
    <row r="3" spans="1:11" ht="201" customHeight="1" x14ac:dyDescent="0.25">
      <c r="A3" s="188" t="s">
        <v>41</v>
      </c>
      <c r="B3" s="189"/>
      <c r="C3" s="189"/>
      <c r="D3" s="189"/>
      <c r="E3" s="189"/>
      <c r="F3" s="189"/>
      <c r="G3" s="189"/>
      <c r="H3" s="189"/>
      <c r="I3" s="189"/>
      <c r="J3" s="189"/>
      <c r="K3" s="189"/>
    </row>
    <row r="4" spans="1:11" ht="10.15" customHeight="1" x14ac:dyDescent="0.25">
      <c r="A4" s="59"/>
      <c r="B4" s="57"/>
      <c r="C4" s="57"/>
      <c r="D4" s="57"/>
      <c r="E4" s="57"/>
      <c r="F4" s="57"/>
      <c r="G4" s="57"/>
      <c r="H4" s="57"/>
      <c r="I4" s="57"/>
      <c r="J4" s="57"/>
      <c r="K4" s="58"/>
    </row>
    <row r="5" spans="1:11" ht="58.15" customHeight="1" x14ac:dyDescent="0.25">
      <c r="A5" s="190" t="s">
        <v>42</v>
      </c>
      <c r="B5" s="190"/>
      <c r="C5" s="190"/>
      <c r="D5" s="190"/>
      <c r="E5" s="190"/>
      <c r="F5" s="190"/>
      <c r="G5" s="190"/>
      <c r="H5" s="190"/>
      <c r="I5" s="190"/>
      <c r="J5" s="190"/>
      <c r="K5" s="58"/>
    </row>
  </sheetData>
  <sheetProtection algorithmName="SHA-512" hashValue="d94iNhi2W1bLjEbAYW4eSi7nQmqsZXf9rUPx083aPcaoav0dok4Pnx8QKE0fWPLzyFID4EX9YBdVKSt6EQF9SQ==" saltValue="yzX31IcBxQgOAbObtsDiMQ==" spinCount="100000" sheet="1" objects="1" scenarios="1"/>
  <mergeCells count="2">
    <mergeCell ref="A3:K3"/>
    <mergeCell ref="A5:J5"/>
  </mergeCells>
  <hyperlinks>
    <hyperlink ref="A5" r:id="rId1" display="http://www.nist.gov/labmetrology"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735E-7BE6-4FB3-87CE-315AAF1FCD27}">
  <dimension ref="A1:M168"/>
  <sheetViews>
    <sheetView workbookViewId="0"/>
  </sheetViews>
  <sheetFormatPr defaultRowHeight="15" x14ac:dyDescent="0.25"/>
  <cols>
    <col min="1" max="1" width="9.7109375" style="114" bestFit="1" customWidth="1"/>
    <col min="2" max="2" width="9.140625" style="114"/>
    <col min="3" max="13" width="9.140625" style="116"/>
    <col min="14" max="16384" width="9.140625" style="114"/>
  </cols>
  <sheetData>
    <row r="1" spans="1:13" x14ac:dyDescent="0.25">
      <c r="A1" s="117" t="s">
        <v>72</v>
      </c>
      <c r="C1" s="191"/>
      <c r="D1" s="191"/>
      <c r="E1" s="191"/>
      <c r="F1" s="191"/>
      <c r="G1" s="191"/>
      <c r="H1" s="191"/>
      <c r="I1" s="191"/>
      <c r="J1" s="191"/>
      <c r="K1" s="191"/>
      <c r="L1" s="191"/>
      <c r="M1" s="191"/>
    </row>
    <row r="2" spans="1:13" x14ac:dyDescent="0.25">
      <c r="C2" s="191"/>
      <c r="D2" s="191"/>
      <c r="E2" s="191"/>
      <c r="F2" s="191"/>
      <c r="G2" s="191"/>
      <c r="H2" s="191"/>
      <c r="I2" s="191"/>
      <c r="J2" s="191"/>
      <c r="K2" s="191"/>
      <c r="L2" s="191"/>
      <c r="M2" s="191"/>
    </row>
    <row r="3" spans="1:13" x14ac:dyDescent="0.25">
      <c r="A3" s="114" t="s">
        <v>69</v>
      </c>
      <c r="B3" s="114" t="s">
        <v>71</v>
      </c>
      <c r="C3" s="191" t="s">
        <v>70</v>
      </c>
      <c r="D3" s="191"/>
      <c r="E3" s="191"/>
      <c r="F3" s="191"/>
      <c r="G3" s="191"/>
      <c r="H3" s="191"/>
      <c r="I3" s="191"/>
      <c r="J3" s="191"/>
      <c r="K3" s="191"/>
      <c r="L3" s="191"/>
      <c r="M3" s="191"/>
    </row>
    <row r="4" spans="1:13" x14ac:dyDescent="0.25">
      <c r="C4" s="191"/>
      <c r="D4" s="191"/>
      <c r="E4" s="191"/>
      <c r="F4" s="191"/>
      <c r="G4" s="191"/>
      <c r="H4" s="191"/>
      <c r="I4" s="191"/>
      <c r="J4" s="191"/>
      <c r="K4" s="191"/>
      <c r="L4" s="191"/>
      <c r="M4" s="191"/>
    </row>
    <row r="5" spans="1:13" ht="44.25" customHeight="1" x14ac:dyDescent="0.25">
      <c r="A5" s="115">
        <v>43334</v>
      </c>
      <c r="B5" s="114" t="s">
        <v>71</v>
      </c>
      <c r="C5" s="191" t="s">
        <v>73</v>
      </c>
      <c r="D5" s="191"/>
      <c r="E5" s="191"/>
      <c r="F5" s="191"/>
      <c r="G5" s="191"/>
      <c r="H5" s="191"/>
      <c r="I5" s="191"/>
      <c r="J5" s="191"/>
      <c r="K5" s="191"/>
      <c r="L5" s="191"/>
      <c r="M5" s="191"/>
    </row>
    <row r="6" spans="1:13" x14ac:dyDescent="0.25">
      <c r="C6" s="191"/>
      <c r="D6" s="191"/>
      <c r="E6" s="191"/>
      <c r="F6" s="191"/>
      <c r="G6" s="191"/>
      <c r="H6" s="191"/>
      <c r="I6" s="191"/>
      <c r="J6" s="191"/>
      <c r="K6" s="191"/>
      <c r="L6" s="191"/>
      <c r="M6" s="191"/>
    </row>
    <row r="7" spans="1:13" ht="80.25" customHeight="1" x14ac:dyDescent="0.25">
      <c r="A7" s="115">
        <v>43921</v>
      </c>
      <c r="B7" s="114" t="s">
        <v>71</v>
      </c>
      <c r="C7" s="191" t="s">
        <v>115</v>
      </c>
      <c r="D7" s="191"/>
      <c r="E7" s="191"/>
      <c r="F7" s="191"/>
      <c r="G7" s="191"/>
      <c r="H7" s="191"/>
      <c r="I7" s="191"/>
      <c r="J7" s="191"/>
      <c r="K7" s="191"/>
      <c r="L7" s="191"/>
      <c r="M7" s="191"/>
    </row>
    <row r="8" spans="1:13" x14ac:dyDescent="0.25">
      <c r="C8" s="191"/>
      <c r="D8" s="191"/>
      <c r="E8" s="191"/>
      <c r="F8" s="191"/>
      <c r="G8" s="191"/>
      <c r="H8" s="191"/>
      <c r="I8" s="191"/>
      <c r="J8" s="191"/>
      <c r="K8" s="191"/>
      <c r="L8" s="191"/>
      <c r="M8" s="191"/>
    </row>
    <row r="9" spans="1:13" ht="90" customHeight="1" x14ac:dyDescent="0.25">
      <c r="A9" s="115">
        <v>43930</v>
      </c>
      <c r="B9" s="114" t="s">
        <v>71</v>
      </c>
      <c r="C9" s="191" t="s">
        <v>132</v>
      </c>
      <c r="D9" s="191"/>
      <c r="E9" s="191"/>
      <c r="F9" s="191"/>
      <c r="G9" s="191"/>
      <c r="H9" s="191"/>
      <c r="I9" s="191"/>
      <c r="J9" s="191"/>
      <c r="K9" s="191"/>
      <c r="L9" s="191"/>
      <c r="M9" s="191"/>
    </row>
    <row r="10" spans="1:13" x14ac:dyDescent="0.25">
      <c r="C10" s="191"/>
      <c r="D10" s="191"/>
      <c r="E10" s="191"/>
      <c r="F10" s="191"/>
      <c r="G10" s="191"/>
      <c r="H10" s="191"/>
      <c r="I10" s="191"/>
      <c r="J10" s="191"/>
      <c r="K10" s="191"/>
      <c r="L10" s="191"/>
      <c r="M10" s="191"/>
    </row>
    <row r="11" spans="1:13" ht="53.25" customHeight="1" x14ac:dyDescent="0.25">
      <c r="A11" s="115">
        <v>43938</v>
      </c>
      <c r="B11" s="114" t="s">
        <v>71</v>
      </c>
      <c r="C11" s="191" t="s">
        <v>118</v>
      </c>
      <c r="D11" s="191"/>
      <c r="E11" s="191"/>
      <c r="F11" s="191"/>
      <c r="G11" s="191"/>
      <c r="H11" s="191"/>
      <c r="I11" s="191"/>
      <c r="J11" s="191"/>
      <c r="K11" s="191"/>
      <c r="L11" s="191"/>
      <c r="M11" s="191"/>
    </row>
    <row r="12" spans="1:13" ht="59.25" customHeight="1" x14ac:dyDescent="0.25">
      <c r="A12" s="115">
        <v>43949</v>
      </c>
      <c r="B12" s="114" t="s">
        <v>71</v>
      </c>
      <c r="C12" s="191" t="s">
        <v>131</v>
      </c>
      <c r="D12" s="191"/>
      <c r="E12" s="191"/>
      <c r="F12" s="191"/>
      <c r="G12" s="191"/>
      <c r="H12" s="191"/>
      <c r="I12" s="191"/>
      <c r="J12" s="191"/>
      <c r="K12" s="191"/>
      <c r="L12" s="191"/>
      <c r="M12" s="191"/>
    </row>
    <row r="13" spans="1:13" x14ac:dyDescent="0.25">
      <c r="C13" s="191"/>
      <c r="D13" s="191"/>
      <c r="E13" s="191"/>
      <c r="F13" s="191"/>
      <c r="G13" s="191"/>
      <c r="H13" s="191"/>
      <c r="I13" s="191"/>
      <c r="J13" s="191"/>
      <c r="K13" s="191"/>
      <c r="L13" s="191"/>
      <c r="M13" s="191"/>
    </row>
    <row r="14" spans="1:13" ht="47.25" customHeight="1" x14ac:dyDescent="0.25">
      <c r="A14" s="115">
        <v>43956</v>
      </c>
      <c r="B14" s="114" t="s">
        <v>71</v>
      </c>
      <c r="C14" s="191" t="s">
        <v>130</v>
      </c>
      <c r="D14" s="191"/>
      <c r="E14" s="191"/>
      <c r="F14" s="191"/>
      <c r="G14" s="191"/>
      <c r="H14" s="191"/>
      <c r="I14" s="191"/>
      <c r="J14" s="191"/>
      <c r="K14" s="191"/>
      <c r="L14" s="191"/>
      <c r="M14" s="191"/>
    </row>
    <row r="15" spans="1:13" x14ac:dyDescent="0.25">
      <c r="C15" s="191"/>
      <c r="D15" s="191"/>
      <c r="E15" s="191"/>
      <c r="F15" s="191"/>
      <c r="G15" s="191"/>
      <c r="H15" s="191"/>
      <c r="I15" s="191"/>
      <c r="J15" s="191"/>
      <c r="K15" s="191"/>
      <c r="L15" s="191"/>
      <c r="M15" s="191"/>
    </row>
    <row r="16" spans="1:13" ht="48" customHeight="1" x14ac:dyDescent="0.25">
      <c r="A16" s="115">
        <v>43969</v>
      </c>
      <c r="B16" s="114" t="s">
        <v>71</v>
      </c>
      <c r="C16" s="191" t="s">
        <v>156</v>
      </c>
      <c r="D16" s="191"/>
      <c r="E16" s="191"/>
      <c r="F16" s="191"/>
      <c r="G16" s="191"/>
      <c r="H16" s="191"/>
      <c r="I16" s="191"/>
      <c r="J16" s="191"/>
      <c r="K16" s="191"/>
      <c r="L16" s="191"/>
      <c r="M16" s="191"/>
    </row>
    <row r="17" spans="1:13" x14ac:dyDescent="0.25">
      <c r="C17" s="191"/>
      <c r="D17" s="191"/>
      <c r="E17" s="191"/>
      <c r="F17" s="191"/>
      <c r="G17" s="191"/>
      <c r="H17" s="191"/>
      <c r="I17" s="191"/>
      <c r="J17" s="191"/>
      <c r="K17" s="191"/>
      <c r="L17" s="191"/>
      <c r="M17" s="191"/>
    </row>
    <row r="18" spans="1:13" ht="99" customHeight="1" x14ac:dyDescent="0.25">
      <c r="A18" s="115">
        <v>43970</v>
      </c>
      <c r="B18" s="114" t="s">
        <v>71</v>
      </c>
      <c r="C18" s="191" t="s">
        <v>162</v>
      </c>
      <c r="D18" s="191"/>
      <c r="E18" s="191"/>
      <c r="F18" s="191"/>
      <c r="G18" s="191"/>
      <c r="H18" s="191"/>
      <c r="I18" s="191"/>
      <c r="J18" s="191"/>
      <c r="K18" s="191"/>
      <c r="L18" s="191"/>
      <c r="M18" s="191"/>
    </row>
    <row r="19" spans="1:13" x14ac:dyDescent="0.25">
      <c r="C19" s="191"/>
      <c r="D19" s="191"/>
      <c r="E19" s="191"/>
      <c r="F19" s="191"/>
      <c r="G19" s="191"/>
      <c r="H19" s="191"/>
      <c r="I19" s="191"/>
      <c r="J19" s="191"/>
      <c r="K19" s="191"/>
      <c r="L19" s="191"/>
      <c r="M19" s="191"/>
    </row>
    <row r="20" spans="1:13" ht="46.5" customHeight="1" x14ac:dyDescent="0.25">
      <c r="A20" s="115">
        <v>43977</v>
      </c>
      <c r="B20" s="114" t="s">
        <v>71</v>
      </c>
      <c r="C20" s="191" t="s">
        <v>178</v>
      </c>
      <c r="D20" s="191"/>
      <c r="E20" s="191"/>
      <c r="F20" s="191"/>
      <c r="G20" s="191"/>
      <c r="H20" s="191"/>
      <c r="I20" s="191"/>
      <c r="J20" s="191"/>
      <c r="K20" s="191"/>
      <c r="L20" s="191"/>
      <c r="M20" s="191"/>
    </row>
    <row r="21" spans="1:13" x14ac:dyDescent="0.25">
      <c r="C21" s="191"/>
      <c r="D21" s="191"/>
      <c r="E21" s="191"/>
      <c r="F21" s="191"/>
      <c r="G21" s="191"/>
      <c r="H21" s="191"/>
      <c r="I21" s="191"/>
      <c r="J21" s="191"/>
      <c r="K21" s="191"/>
      <c r="L21" s="191"/>
      <c r="M21" s="191"/>
    </row>
    <row r="22" spans="1:13" ht="109.5" customHeight="1" x14ac:dyDescent="0.25">
      <c r="A22" s="115">
        <v>43978</v>
      </c>
      <c r="B22" s="114" t="s">
        <v>71</v>
      </c>
      <c r="C22" s="191" t="s">
        <v>179</v>
      </c>
      <c r="D22" s="191"/>
      <c r="E22" s="191"/>
      <c r="F22" s="191"/>
      <c r="G22" s="191"/>
      <c r="H22" s="191"/>
      <c r="I22" s="191"/>
      <c r="J22" s="191"/>
      <c r="K22" s="191"/>
      <c r="L22" s="191"/>
      <c r="M22" s="191"/>
    </row>
    <row r="23" spans="1:13" x14ac:dyDescent="0.25">
      <c r="C23" s="191"/>
      <c r="D23" s="191"/>
      <c r="E23" s="191"/>
      <c r="F23" s="191"/>
      <c r="G23" s="191"/>
      <c r="H23" s="191"/>
      <c r="I23" s="191"/>
      <c r="J23" s="191"/>
      <c r="K23" s="191"/>
      <c r="L23" s="191"/>
      <c r="M23" s="191"/>
    </row>
    <row r="24" spans="1:13" ht="65.25" customHeight="1" x14ac:dyDescent="0.25">
      <c r="A24" s="115">
        <v>43983</v>
      </c>
      <c r="B24" s="114" t="s">
        <v>71</v>
      </c>
      <c r="C24" s="191" t="s">
        <v>180</v>
      </c>
      <c r="D24" s="191"/>
      <c r="E24" s="191"/>
      <c r="F24" s="191"/>
      <c r="G24" s="191"/>
      <c r="H24" s="191"/>
      <c r="I24" s="191"/>
      <c r="J24" s="191"/>
      <c r="K24" s="191"/>
      <c r="L24" s="191"/>
      <c r="M24" s="191"/>
    </row>
    <row r="25" spans="1:13" x14ac:dyDescent="0.25">
      <c r="C25" s="191"/>
      <c r="D25" s="191"/>
      <c r="E25" s="191"/>
      <c r="F25" s="191"/>
      <c r="G25" s="191"/>
      <c r="H25" s="191"/>
      <c r="I25" s="191"/>
      <c r="J25" s="191"/>
      <c r="K25" s="191"/>
      <c r="L25" s="191"/>
      <c r="M25" s="191"/>
    </row>
    <row r="26" spans="1:13" x14ac:dyDescent="0.25">
      <c r="C26" s="191"/>
      <c r="D26" s="191"/>
      <c r="E26" s="191"/>
      <c r="F26" s="191"/>
      <c r="G26" s="191"/>
      <c r="H26" s="191"/>
      <c r="I26" s="191"/>
      <c r="J26" s="191"/>
      <c r="K26" s="191"/>
      <c r="L26" s="191"/>
      <c r="M26" s="191"/>
    </row>
    <row r="27" spans="1:13" x14ac:dyDescent="0.25">
      <c r="C27" s="191"/>
      <c r="D27" s="191"/>
      <c r="E27" s="191"/>
      <c r="F27" s="191"/>
      <c r="G27" s="191"/>
      <c r="H27" s="191"/>
      <c r="I27" s="191"/>
      <c r="J27" s="191"/>
      <c r="K27" s="191"/>
      <c r="L27" s="191"/>
      <c r="M27" s="191"/>
    </row>
    <row r="28" spans="1:13" x14ac:dyDescent="0.25">
      <c r="C28" s="191"/>
      <c r="D28" s="191"/>
      <c r="E28" s="191"/>
      <c r="F28" s="191"/>
      <c r="G28" s="191"/>
      <c r="H28" s="191"/>
      <c r="I28" s="191"/>
      <c r="J28" s="191"/>
      <c r="K28" s="191"/>
      <c r="L28" s="191"/>
      <c r="M28" s="191"/>
    </row>
    <row r="29" spans="1:13" x14ac:dyDescent="0.25">
      <c r="C29" s="191"/>
      <c r="D29" s="191"/>
      <c r="E29" s="191"/>
      <c r="F29" s="191"/>
      <c r="G29" s="191"/>
      <c r="H29" s="191"/>
      <c r="I29" s="191"/>
      <c r="J29" s="191"/>
      <c r="K29" s="191"/>
      <c r="L29" s="191"/>
      <c r="M29" s="191"/>
    </row>
    <row r="30" spans="1:13" x14ac:dyDescent="0.25">
      <c r="C30" s="191"/>
      <c r="D30" s="191"/>
      <c r="E30" s="191"/>
      <c r="F30" s="191"/>
      <c r="G30" s="191"/>
      <c r="H30" s="191"/>
      <c r="I30" s="191"/>
      <c r="J30" s="191"/>
      <c r="K30" s="191"/>
      <c r="L30" s="191"/>
      <c r="M30" s="191"/>
    </row>
    <row r="31" spans="1:13" x14ac:dyDescent="0.25">
      <c r="C31" s="191"/>
      <c r="D31" s="191"/>
      <c r="E31" s="191"/>
      <c r="F31" s="191"/>
      <c r="G31" s="191"/>
      <c r="H31" s="191"/>
      <c r="I31" s="191"/>
      <c r="J31" s="191"/>
      <c r="K31" s="191"/>
      <c r="L31" s="191"/>
      <c r="M31" s="191"/>
    </row>
    <row r="32" spans="1:13" x14ac:dyDescent="0.25">
      <c r="C32" s="191"/>
      <c r="D32" s="191"/>
      <c r="E32" s="191"/>
      <c r="F32" s="191"/>
      <c r="G32" s="191"/>
      <c r="H32" s="191"/>
      <c r="I32" s="191"/>
      <c r="J32" s="191"/>
      <c r="K32" s="191"/>
      <c r="L32" s="191"/>
      <c r="M32" s="191"/>
    </row>
    <row r="33" spans="3:13" x14ac:dyDescent="0.25">
      <c r="C33" s="191"/>
      <c r="D33" s="191"/>
      <c r="E33" s="191"/>
      <c r="F33" s="191"/>
      <c r="G33" s="191"/>
      <c r="H33" s="191"/>
      <c r="I33" s="191"/>
      <c r="J33" s="191"/>
      <c r="K33" s="191"/>
      <c r="L33" s="191"/>
      <c r="M33" s="191"/>
    </row>
    <row r="34" spans="3:13" x14ac:dyDescent="0.25">
      <c r="C34" s="191"/>
      <c r="D34" s="191"/>
      <c r="E34" s="191"/>
      <c r="F34" s="191"/>
      <c r="G34" s="191"/>
      <c r="H34" s="191"/>
      <c r="I34" s="191"/>
      <c r="J34" s="191"/>
      <c r="K34" s="191"/>
      <c r="L34" s="191"/>
      <c r="M34" s="191"/>
    </row>
    <row r="35" spans="3:13" x14ac:dyDescent="0.25">
      <c r="C35" s="191"/>
      <c r="D35" s="191"/>
      <c r="E35" s="191"/>
      <c r="F35" s="191"/>
      <c r="G35" s="191"/>
      <c r="H35" s="191"/>
      <c r="I35" s="191"/>
      <c r="J35" s="191"/>
      <c r="K35" s="191"/>
      <c r="L35" s="191"/>
      <c r="M35" s="191"/>
    </row>
    <row r="36" spans="3:13" x14ac:dyDescent="0.25">
      <c r="C36" s="191"/>
      <c r="D36" s="191"/>
      <c r="E36" s="191"/>
      <c r="F36" s="191"/>
      <c r="G36" s="191"/>
      <c r="H36" s="191"/>
      <c r="I36" s="191"/>
      <c r="J36" s="191"/>
      <c r="K36" s="191"/>
      <c r="L36" s="191"/>
      <c r="M36" s="191"/>
    </row>
    <row r="37" spans="3:13" x14ac:dyDescent="0.25">
      <c r="C37" s="191"/>
      <c r="D37" s="191"/>
      <c r="E37" s="191"/>
      <c r="F37" s="191"/>
      <c r="G37" s="191"/>
      <c r="H37" s="191"/>
      <c r="I37" s="191"/>
      <c r="J37" s="191"/>
      <c r="K37" s="191"/>
      <c r="L37" s="191"/>
      <c r="M37" s="191"/>
    </row>
    <row r="38" spans="3:13" x14ac:dyDescent="0.25">
      <c r="C38" s="191"/>
      <c r="D38" s="191"/>
      <c r="E38" s="191"/>
      <c r="F38" s="191"/>
      <c r="G38" s="191"/>
      <c r="H38" s="191"/>
      <c r="I38" s="191"/>
      <c r="J38" s="191"/>
      <c r="K38" s="191"/>
      <c r="L38" s="191"/>
      <c r="M38" s="191"/>
    </row>
    <row r="39" spans="3:13" x14ac:dyDescent="0.25">
      <c r="C39" s="191"/>
      <c r="D39" s="191"/>
      <c r="E39" s="191"/>
      <c r="F39" s="191"/>
      <c r="G39" s="191"/>
      <c r="H39" s="191"/>
      <c r="I39" s="191"/>
      <c r="J39" s="191"/>
      <c r="K39" s="191"/>
      <c r="L39" s="191"/>
      <c r="M39" s="191"/>
    </row>
    <row r="40" spans="3:13" x14ac:dyDescent="0.25">
      <c r="C40" s="191"/>
      <c r="D40" s="191"/>
      <c r="E40" s="191"/>
      <c r="F40" s="191"/>
      <c r="G40" s="191"/>
      <c r="H40" s="191"/>
      <c r="I40" s="191"/>
      <c r="J40" s="191"/>
      <c r="K40" s="191"/>
      <c r="L40" s="191"/>
      <c r="M40" s="191"/>
    </row>
    <row r="41" spans="3:13" x14ac:dyDescent="0.25">
      <c r="C41" s="191"/>
      <c r="D41" s="191"/>
      <c r="E41" s="191"/>
      <c r="F41" s="191"/>
      <c r="G41" s="191"/>
      <c r="H41" s="191"/>
      <c r="I41" s="191"/>
      <c r="J41" s="191"/>
      <c r="K41" s="191"/>
      <c r="L41" s="191"/>
      <c r="M41" s="191"/>
    </row>
    <row r="42" spans="3:13" x14ac:dyDescent="0.25">
      <c r="C42" s="191"/>
      <c r="D42" s="191"/>
      <c r="E42" s="191"/>
      <c r="F42" s="191"/>
      <c r="G42" s="191"/>
      <c r="H42" s="191"/>
      <c r="I42" s="191"/>
      <c r="J42" s="191"/>
      <c r="K42" s="191"/>
      <c r="L42" s="191"/>
      <c r="M42" s="191"/>
    </row>
    <row r="43" spans="3:13" x14ac:dyDescent="0.25">
      <c r="C43" s="191"/>
      <c r="D43" s="191"/>
      <c r="E43" s="191"/>
      <c r="F43" s="191"/>
      <c r="G43" s="191"/>
      <c r="H43" s="191"/>
      <c r="I43" s="191"/>
      <c r="J43" s="191"/>
      <c r="K43" s="191"/>
      <c r="L43" s="191"/>
      <c r="M43" s="191"/>
    </row>
    <row r="44" spans="3:13" x14ac:dyDescent="0.25">
      <c r="C44" s="191"/>
      <c r="D44" s="191"/>
      <c r="E44" s="191"/>
      <c r="F44" s="191"/>
      <c r="G44" s="191"/>
      <c r="H44" s="191"/>
      <c r="I44" s="191"/>
      <c r="J44" s="191"/>
      <c r="K44" s="191"/>
      <c r="L44" s="191"/>
      <c r="M44" s="191"/>
    </row>
    <row r="45" spans="3:13" x14ac:dyDescent="0.25">
      <c r="C45" s="191"/>
      <c r="D45" s="191"/>
      <c r="E45" s="191"/>
      <c r="F45" s="191"/>
      <c r="G45" s="191"/>
      <c r="H45" s="191"/>
      <c r="I45" s="191"/>
      <c r="J45" s="191"/>
      <c r="K45" s="191"/>
      <c r="L45" s="191"/>
      <c r="M45" s="191"/>
    </row>
    <row r="46" spans="3:13" x14ac:dyDescent="0.25">
      <c r="C46" s="191"/>
      <c r="D46" s="191"/>
      <c r="E46" s="191"/>
      <c r="F46" s="191"/>
      <c r="G46" s="191"/>
      <c r="H46" s="191"/>
      <c r="I46" s="191"/>
      <c r="J46" s="191"/>
      <c r="K46" s="191"/>
      <c r="L46" s="191"/>
      <c r="M46" s="191"/>
    </row>
    <row r="47" spans="3:13" x14ac:dyDescent="0.25">
      <c r="C47" s="191"/>
      <c r="D47" s="191"/>
      <c r="E47" s="191"/>
      <c r="F47" s="191"/>
      <c r="G47" s="191"/>
      <c r="H47" s="191"/>
      <c r="I47" s="191"/>
      <c r="J47" s="191"/>
      <c r="K47" s="191"/>
      <c r="L47" s="191"/>
      <c r="M47" s="191"/>
    </row>
    <row r="48" spans="3:13" x14ac:dyDescent="0.25">
      <c r="C48" s="191"/>
      <c r="D48" s="191"/>
      <c r="E48" s="191"/>
      <c r="F48" s="191"/>
      <c r="G48" s="191"/>
      <c r="H48" s="191"/>
      <c r="I48" s="191"/>
      <c r="J48" s="191"/>
      <c r="K48" s="191"/>
      <c r="L48" s="191"/>
      <c r="M48" s="191"/>
    </row>
    <row r="49" spans="3:13" x14ac:dyDescent="0.25">
      <c r="C49" s="191"/>
      <c r="D49" s="191"/>
      <c r="E49" s="191"/>
      <c r="F49" s="191"/>
      <c r="G49" s="191"/>
      <c r="H49" s="191"/>
      <c r="I49" s="191"/>
      <c r="J49" s="191"/>
      <c r="K49" s="191"/>
      <c r="L49" s="191"/>
      <c r="M49" s="191"/>
    </row>
    <row r="50" spans="3:13" x14ac:dyDescent="0.25">
      <c r="C50" s="191"/>
      <c r="D50" s="191"/>
      <c r="E50" s="191"/>
      <c r="F50" s="191"/>
      <c r="G50" s="191"/>
      <c r="H50" s="191"/>
      <c r="I50" s="191"/>
      <c r="J50" s="191"/>
      <c r="K50" s="191"/>
      <c r="L50" s="191"/>
      <c r="M50" s="191"/>
    </row>
    <row r="51" spans="3:13" x14ac:dyDescent="0.25">
      <c r="C51" s="191"/>
      <c r="D51" s="191"/>
      <c r="E51" s="191"/>
      <c r="F51" s="191"/>
      <c r="G51" s="191"/>
      <c r="H51" s="191"/>
      <c r="I51" s="191"/>
      <c r="J51" s="191"/>
      <c r="K51" s="191"/>
      <c r="L51" s="191"/>
      <c r="M51" s="191"/>
    </row>
    <row r="52" spans="3:13" x14ac:dyDescent="0.25">
      <c r="C52" s="191"/>
      <c r="D52" s="191"/>
      <c r="E52" s="191"/>
      <c r="F52" s="191"/>
      <c r="G52" s="191"/>
      <c r="H52" s="191"/>
      <c r="I52" s="191"/>
      <c r="J52" s="191"/>
      <c r="K52" s="191"/>
      <c r="L52" s="191"/>
      <c r="M52" s="191"/>
    </row>
    <row r="53" spans="3:13" x14ac:dyDescent="0.25">
      <c r="C53" s="191"/>
      <c r="D53" s="191"/>
      <c r="E53" s="191"/>
      <c r="F53" s="191"/>
      <c r="G53" s="191"/>
      <c r="H53" s="191"/>
      <c r="I53" s="191"/>
      <c r="J53" s="191"/>
      <c r="K53" s="191"/>
      <c r="L53" s="191"/>
      <c r="M53" s="191"/>
    </row>
    <row r="54" spans="3:13" x14ac:dyDescent="0.25">
      <c r="C54" s="191"/>
      <c r="D54" s="191"/>
      <c r="E54" s="191"/>
      <c r="F54" s="191"/>
      <c r="G54" s="191"/>
      <c r="H54" s="191"/>
      <c r="I54" s="191"/>
      <c r="J54" s="191"/>
      <c r="K54" s="191"/>
      <c r="L54" s="191"/>
      <c r="M54" s="191"/>
    </row>
    <row r="55" spans="3:13" x14ac:dyDescent="0.25">
      <c r="C55" s="191"/>
      <c r="D55" s="191"/>
      <c r="E55" s="191"/>
      <c r="F55" s="191"/>
      <c r="G55" s="191"/>
      <c r="H55" s="191"/>
      <c r="I55" s="191"/>
      <c r="J55" s="191"/>
      <c r="K55" s="191"/>
      <c r="L55" s="191"/>
      <c r="M55" s="191"/>
    </row>
    <row r="56" spans="3:13" x14ac:dyDescent="0.25">
      <c r="C56" s="191"/>
      <c r="D56" s="191"/>
      <c r="E56" s="191"/>
      <c r="F56" s="191"/>
      <c r="G56" s="191"/>
      <c r="H56" s="191"/>
      <c r="I56" s="191"/>
      <c r="J56" s="191"/>
      <c r="K56" s="191"/>
      <c r="L56" s="191"/>
      <c r="M56" s="191"/>
    </row>
    <row r="57" spans="3:13" x14ac:dyDescent="0.25">
      <c r="C57" s="191"/>
      <c r="D57" s="191"/>
      <c r="E57" s="191"/>
      <c r="F57" s="191"/>
      <c r="G57" s="191"/>
      <c r="H57" s="191"/>
      <c r="I57" s="191"/>
      <c r="J57" s="191"/>
      <c r="K57" s="191"/>
      <c r="L57" s="191"/>
      <c r="M57" s="191"/>
    </row>
    <row r="58" spans="3:13" x14ac:dyDescent="0.25">
      <c r="C58" s="191"/>
      <c r="D58" s="191"/>
      <c r="E58" s="191"/>
      <c r="F58" s="191"/>
      <c r="G58" s="191"/>
      <c r="H58" s="191"/>
      <c r="I58" s="191"/>
      <c r="J58" s="191"/>
      <c r="K58" s="191"/>
      <c r="L58" s="191"/>
      <c r="M58" s="191"/>
    </row>
    <row r="59" spans="3:13" x14ac:dyDescent="0.25">
      <c r="C59" s="191"/>
      <c r="D59" s="191"/>
      <c r="E59" s="191"/>
      <c r="F59" s="191"/>
      <c r="G59" s="191"/>
      <c r="H59" s="191"/>
      <c r="I59" s="191"/>
      <c r="J59" s="191"/>
      <c r="K59" s="191"/>
      <c r="L59" s="191"/>
      <c r="M59" s="191"/>
    </row>
    <row r="60" spans="3:13" x14ac:dyDescent="0.25">
      <c r="C60" s="191"/>
      <c r="D60" s="191"/>
      <c r="E60" s="191"/>
      <c r="F60" s="191"/>
      <c r="G60" s="191"/>
      <c r="H60" s="191"/>
      <c r="I60" s="191"/>
      <c r="J60" s="191"/>
      <c r="K60" s="191"/>
      <c r="L60" s="191"/>
      <c r="M60" s="191"/>
    </row>
    <row r="61" spans="3:13" x14ac:dyDescent="0.25">
      <c r="C61" s="191"/>
      <c r="D61" s="191"/>
      <c r="E61" s="191"/>
      <c r="F61" s="191"/>
      <c r="G61" s="191"/>
      <c r="H61" s="191"/>
      <c r="I61" s="191"/>
      <c r="J61" s="191"/>
      <c r="K61" s="191"/>
      <c r="L61" s="191"/>
      <c r="M61" s="191"/>
    </row>
    <row r="62" spans="3:13" x14ac:dyDescent="0.25">
      <c r="C62" s="191"/>
      <c r="D62" s="191"/>
      <c r="E62" s="191"/>
      <c r="F62" s="191"/>
      <c r="G62" s="191"/>
      <c r="H62" s="191"/>
      <c r="I62" s="191"/>
      <c r="J62" s="191"/>
      <c r="K62" s="191"/>
      <c r="L62" s="191"/>
      <c r="M62" s="191"/>
    </row>
    <row r="63" spans="3:13" x14ac:dyDescent="0.25">
      <c r="C63" s="191"/>
      <c r="D63" s="191"/>
      <c r="E63" s="191"/>
      <c r="F63" s="191"/>
      <c r="G63" s="191"/>
      <c r="H63" s="191"/>
      <c r="I63" s="191"/>
      <c r="J63" s="191"/>
      <c r="K63" s="191"/>
      <c r="L63" s="191"/>
      <c r="M63" s="191"/>
    </row>
    <row r="64" spans="3:13" x14ac:dyDescent="0.25">
      <c r="C64" s="191"/>
      <c r="D64" s="191"/>
      <c r="E64" s="191"/>
      <c r="F64" s="191"/>
      <c r="G64" s="191"/>
      <c r="H64" s="191"/>
      <c r="I64" s="191"/>
      <c r="J64" s="191"/>
      <c r="K64" s="191"/>
      <c r="L64" s="191"/>
      <c r="M64" s="191"/>
    </row>
    <row r="65" spans="3:13" x14ac:dyDescent="0.25">
      <c r="C65" s="191"/>
      <c r="D65" s="191"/>
      <c r="E65" s="191"/>
      <c r="F65" s="191"/>
      <c r="G65" s="191"/>
      <c r="H65" s="191"/>
      <c r="I65" s="191"/>
      <c r="J65" s="191"/>
      <c r="K65" s="191"/>
      <c r="L65" s="191"/>
      <c r="M65" s="191"/>
    </row>
    <row r="66" spans="3:13" x14ac:dyDescent="0.25">
      <c r="C66" s="191"/>
      <c r="D66" s="191"/>
      <c r="E66" s="191"/>
      <c r="F66" s="191"/>
      <c r="G66" s="191"/>
      <c r="H66" s="191"/>
      <c r="I66" s="191"/>
      <c r="J66" s="191"/>
      <c r="K66" s="191"/>
      <c r="L66" s="191"/>
      <c r="M66" s="191"/>
    </row>
    <row r="67" spans="3:13" x14ac:dyDescent="0.25">
      <c r="C67" s="191"/>
      <c r="D67" s="191"/>
      <c r="E67" s="191"/>
      <c r="F67" s="191"/>
      <c r="G67" s="191"/>
      <c r="H67" s="191"/>
      <c r="I67" s="191"/>
      <c r="J67" s="191"/>
      <c r="K67" s="191"/>
      <c r="L67" s="191"/>
      <c r="M67" s="191"/>
    </row>
    <row r="68" spans="3:13" x14ac:dyDescent="0.25">
      <c r="C68" s="191"/>
      <c r="D68" s="191"/>
      <c r="E68" s="191"/>
      <c r="F68" s="191"/>
      <c r="G68" s="191"/>
      <c r="H68" s="191"/>
      <c r="I68" s="191"/>
      <c r="J68" s="191"/>
      <c r="K68" s="191"/>
      <c r="L68" s="191"/>
      <c r="M68" s="191"/>
    </row>
    <row r="69" spans="3:13" x14ac:dyDescent="0.25">
      <c r="C69" s="191"/>
      <c r="D69" s="191"/>
      <c r="E69" s="191"/>
      <c r="F69" s="191"/>
      <c r="G69" s="191"/>
      <c r="H69" s="191"/>
      <c r="I69" s="191"/>
      <c r="J69" s="191"/>
      <c r="K69" s="191"/>
      <c r="L69" s="191"/>
      <c r="M69" s="191"/>
    </row>
    <row r="70" spans="3:13" x14ac:dyDescent="0.25">
      <c r="C70" s="191"/>
      <c r="D70" s="191"/>
      <c r="E70" s="191"/>
      <c r="F70" s="191"/>
      <c r="G70" s="191"/>
      <c r="H70" s="191"/>
      <c r="I70" s="191"/>
      <c r="J70" s="191"/>
      <c r="K70" s="191"/>
      <c r="L70" s="191"/>
      <c r="M70" s="191"/>
    </row>
    <row r="71" spans="3:13" x14ac:dyDescent="0.25">
      <c r="C71" s="191"/>
      <c r="D71" s="191"/>
      <c r="E71" s="191"/>
      <c r="F71" s="191"/>
      <c r="G71" s="191"/>
      <c r="H71" s="191"/>
      <c r="I71" s="191"/>
      <c r="J71" s="191"/>
      <c r="K71" s="191"/>
      <c r="L71" s="191"/>
      <c r="M71" s="191"/>
    </row>
    <row r="72" spans="3:13" x14ac:dyDescent="0.25">
      <c r="C72" s="191"/>
      <c r="D72" s="191"/>
      <c r="E72" s="191"/>
      <c r="F72" s="191"/>
      <c r="G72" s="191"/>
      <c r="H72" s="191"/>
      <c r="I72" s="191"/>
      <c r="J72" s="191"/>
      <c r="K72" s="191"/>
      <c r="L72" s="191"/>
      <c r="M72" s="191"/>
    </row>
    <row r="73" spans="3:13" x14ac:dyDescent="0.25">
      <c r="C73" s="191"/>
      <c r="D73" s="191"/>
      <c r="E73" s="191"/>
      <c r="F73" s="191"/>
      <c r="G73" s="191"/>
      <c r="H73" s="191"/>
      <c r="I73" s="191"/>
      <c r="J73" s="191"/>
      <c r="K73" s="191"/>
      <c r="L73" s="191"/>
      <c r="M73" s="191"/>
    </row>
    <row r="74" spans="3:13" x14ac:dyDescent="0.25">
      <c r="C74" s="191"/>
      <c r="D74" s="191"/>
      <c r="E74" s="191"/>
      <c r="F74" s="191"/>
      <c r="G74" s="191"/>
      <c r="H74" s="191"/>
      <c r="I74" s="191"/>
      <c r="J74" s="191"/>
      <c r="K74" s="191"/>
      <c r="L74" s="191"/>
      <c r="M74" s="191"/>
    </row>
    <row r="75" spans="3:13" x14ac:dyDescent="0.25">
      <c r="C75" s="191"/>
      <c r="D75" s="191"/>
      <c r="E75" s="191"/>
      <c r="F75" s="191"/>
      <c r="G75" s="191"/>
      <c r="H75" s="191"/>
      <c r="I75" s="191"/>
      <c r="J75" s="191"/>
      <c r="K75" s="191"/>
      <c r="L75" s="191"/>
      <c r="M75" s="191"/>
    </row>
    <row r="76" spans="3:13" x14ac:dyDescent="0.25">
      <c r="C76" s="191"/>
      <c r="D76" s="191"/>
      <c r="E76" s="191"/>
      <c r="F76" s="191"/>
      <c r="G76" s="191"/>
      <c r="H76" s="191"/>
      <c r="I76" s="191"/>
      <c r="J76" s="191"/>
      <c r="K76" s="191"/>
      <c r="L76" s="191"/>
      <c r="M76" s="191"/>
    </row>
    <row r="77" spans="3:13" x14ac:dyDescent="0.25">
      <c r="C77" s="191"/>
      <c r="D77" s="191"/>
      <c r="E77" s="191"/>
      <c r="F77" s="191"/>
      <c r="G77" s="191"/>
      <c r="H77" s="191"/>
      <c r="I77" s="191"/>
      <c r="J77" s="191"/>
      <c r="K77" s="191"/>
      <c r="L77" s="191"/>
      <c r="M77" s="191"/>
    </row>
    <row r="78" spans="3:13" x14ac:dyDescent="0.25">
      <c r="C78" s="191"/>
      <c r="D78" s="191"/>
      <c r="E78" s="191"/>
      <c r="F78" s="191"/>
      <c r="G78" s="191"/>
      <c r="H78" s="191"/>
      <c r="I78" s="191"/>
      <c r="J78" s="191"/>
      <c r="K78" s="191"/>
      <c r="L78" s="191"/>
      <c r="M78" s="191"/>
    </row>
    <row r="79" spans="3:13" x14ac:dyDescent="0.25">
      <c r="C79" s="191"/>
      <c r="D79" s="191"/>
      <c r="E79" s="191"/>
      <c r="F79" s="191"/>
      <c r="G79" s="191"/>
      <c r="H79" s="191"/>
      <c r="I79" s="191"/>
      <c r="J79" s="191"/>
      <c r="K79" s="191"/>
      <c r="L79" s="191"/>
      <c r="M79" s="191"/>
    </row>
    <row r="80" spans="3:13" x14ac:dyDescent="0.25">
      <c r="C80" s="191"/>
      <c r="D80" s="191"/>
      <c r="E80" s="191"/>
      <c r="F80" s="191"/>
      <c r="G80" s="191"/>
      <c r="H80" s="191"/>
      <c r="I80" s="191"/>
      <c r="J80" s="191"/>
      <c r="K80" s="191"/>
      <c r="L80" s="191"/>
      <c r="M80" s="191"/>
    </row>
    <row r="81" spans="3:13" x14ac:dyDescent="0.25">
      <c r="C81" s="191"/>
      <c r="D81" s="191"/>
      <c r="E81" s="191"/>
      <c r="F81" s="191"/>
      <c r="G81" s="191"/>
      <c r="H81" s="191"/>
      <c r="I81" s="191"/>
      <c r="J81" s="191"/>
      <c r="K81" s="191"/>
      <c r="L81" s="191"/>
      <c r="M81" s="191"/>
    </row>
    <row r="82" spans="3:13" x14ac:dyDescent="0.25">
      <c r="C82" s="191"/>
      <c r="D82" s="191"/>
      <c r="E82" s="191"/>
      <c r="F82" s="191"/>
      <c r="G82" s="191"/>
      <c r="H82" s="191"/>
      <c r="I82" s="191"/>
      <c r="J82" s="191"/>
      <c r="K82" s="191"/>
      <c r="L82" s="191"/>
      <c r="M82" s="191"/>
    </row>
    <row r="83" spans="3:13" x14ac:dyDescent="0.25">
      <c r="C83" s="191"/>
      <c r="D83" s="191"/>
      <c r="E83" s="191"/>
      <c r="F83" s="191"/>
      <c r="G83" s="191"/>
      <c r="H83" s="191"/>
      <c r="I83" s="191"/>
      <c r="J83" s="191"/>
      <c r="K83" s="191"/>
      <c r="L83" s="191"/>
      <c r="M83" s="191"/>
    </row>
    <row r="84" spans="3:13" x14ac:dyDescent="0.25">
      <c r="C84" s="191"/>
      <c r="D84" s="191"/>
      <c r="E84" s="191"/>
      <c r="F84" s="191"/>
      <c r="G84" s="191"/>
      <c r="H84" s="191"/>
      <c r="I84" s="191"/>
      <c r="J84" s="191"/>
      <c r="K84" s="191"/>
      <c r="L84" s="191"/>
      <c r="M84" s="191"/>
    </row>
    <row r="85" spans="3:13" x14ac:dyDescent="0.25">
      <c r="C85" s="191"/>
      <c r="D85" s="191"/>
      <c r="E85" s="191"/>
      <c r="F85" s="191"/>
      <c r="G85" s="191"/>
      <c r="H85" s="191"/>
      <c r="I85" s="191"/>
      <c r="J85" s="191"/>
      <c r="K85" s="191"/>
      <c r="L85" s="191"/>
      <c r="M85" s="191"/>
    </row>
    <row r="86" spans="3:13" x14ac:dyDescent="0.25">
      <c r="C86" s="191"/>
      <c r="D86" s="191"/>
      <c r="E86" s="191"/>
      <c r="F86" s="191"/>
      <c r="G86" s="191"/>
      <c r="H86" s="191"/>
      <c r="I86" s="191"/>
      <c r="J86" s="191"/>
      <c r="K86" s="191"/>
      <c r="L86" s="191"/>
      <c r="M86" s="191"/>
    </row>
    <row r="87" spans="3:13" x14ac:dyDescent="0.25">
      <c r="C87" s="191"/>
      <c r="D87" s="191"/>
      <c r="E87" s="191"/>
      <c r="F87" s="191"/>
      <c r="G87" s="191"/>
      <c r="H87" s="191"/>
      <c r="I87" s="191"/>
      <c r="J87" s="191"/>
      <c r="K87" s="191"/>
      <c r="L87" s="191"/>
      <c r="M87" s="191"/>
    </row>
    <row r="88" spans="3:13" x14ac:dyDescent="0.25">
      <c r="C88" s="191"/>
      <c r="D88" s="191"/>
      <c r="E88" s="191"/>
      <c r="F88" s="191"/>
      <c r="G88" s="191"/>
      <c r="H88" s="191"/>
      <c r="I88" s="191"/>
      <c r="J88" s="191"/>
      <c r="K88" s="191"/>
      <c r="L88" s="191"/>
      <c r="M88" s="191"/>
    </row>
    <row r="89" spans="3:13" x14ac:dyDescent="0.25">
      <c r="C89" s="191"/>
      <c r="D89" s="191"/>
      <c r="E89" s="191"/>
      <c r="F89" s="191"/>
      <c r="G89" s="191"/>
      <c r="H89" s="191"/>
      <c r="I89" s="191"/>
      <c r="J89" s="191"/>
      <c r="K89" s="191"/>
      <c r="L89" s="191"/>
      <c r="M89" s="191"/>
    </row>
    <row r="90" spans="3:13" x14ac:dyDescent="0.25">
      <c r="C90" s="191"/>
      <c r="D90" s="191"/>
      <c r="E90" s="191"/>
      <c r="F90" s="191"/>
      <c r="G90" s="191"/>
      <c r="H90" s="191"/>
      <c r="I90" s="191"/>
      <c r="J90" s="191"/>
      <c r="K90" s="191"/>
      <c r="L90" s="191"/>
      <c r="M90" s="191"/>
    </row>
    <row r="91" spans="3:13" x14ac:dyDescent="0.25">
      <c r="C91" s="191"/>
      <c r="D91" s="191"/>
      <c r="E91" s="191"/>
      <c r="F91" s="191"/>
      <c r="G91" s="191"/>
      <c r="H91" s="191"/>
      <c r="I91" s="191"/>
      <c r="J91" s="191"/>
      <c r="K91" s="191"/>
      <c r="L91" s="191"/>
      <c r="M91" s="191"/>
    </row>
    <row r="92" spans="3:13" x14ac:dyDescent="0.25">
      <c r="C92" s="191"/>
      <c r="D92" s="191"/>
      <c r="E92" s="191"/>
      <c r="F92" s="191"/>
      <c r="G92" s="191"/>
      <c r="H92" s="191"/>
      <c r="I92" s="191"/>
      <c r="J92" s="191"/>
      <c r="K92" s="191"/>
      <c r="L92" s="191"/>
      <c r="M92" s="191"/>
    </row>
    <row r="93" spans="3:13" x14ac:dyDescent="0.25">
      <c r="C93" s="191"/>
      <c r="D93" s="191"/>
      <c r="E93" s="191"/>
      <c r="F93" s="191"/>
      <c r="G93" s="191"/>
      <c r="H93" s="191"/>
      <c r="I93" s="191"/>
      <c r="J93" s="191"/>
      <c r="K93" s="191"/>
      <c r="L93" s="191"/>
      <c r="M93" s="191"/>
    </row>
    <row r="94" spans="3:13" x14ac:dyDescent="0.25">
      <c r="C94" s="191"/>
      <c r="D94" s="191"/>
      <c r="E94" s="191"/>
      <c r="F94" s="191"/>
      <c r="G94" s="191"/>
      <c r="H94" s="191"/>
      <c r="I94" s="191"/>
      <c r="J94" s="191"/>
      <c r="K94" s="191"/>
      <c r="L94" s="191"/>
      <c r="M94" s="191"/>
    </row>
    <row r="95" spans="3:13" x14ac:dyDescent="0.25">
      <c r="C95" s="191"/>
      <c r="D95" s="191"/>
      <c r="E95" s="191"/>
      <c r="F95" s="191"/>
      <c r="G95" s="191"/>
      <c r="H95" s="191"/>
      <c r="I95" s="191"/>
      <c r="J95" s="191"/>
      <c r="K95" s="191"/>
      <c r="L95" s="191"/>
      <c r="M95" s="191"/>
    </row>
    <row r="96" spans="3:13" x14ac:dyDescent="0.25">
      <c r="C96" s="191"/>
      <c r="D96" s="191"/>
      <c r="E96" s="191"/>
      <c r="F96" s="191"/>
      <c r="G96" s="191"/>
      <c r="H96" s="191"/>
      <c r="I96" s="191"/>
      <c r="J96" s="191"/>
      <c r="K96" s="191"/>
      <c r="L96" s="191"/>
      <c r="M96" s="191"/>
    </row>
    <row r="97" spans="3:13" x14ac:dyDescent="0.25">
      <c r="C97" s="191"/>
      <c r="D97" s="191"/>
      <c r="E97" s="191"/>
      <c r="F97" s="191"/>
      <c r="G97" s="191"/>
      <c r="H97" s="191"/>
      <c r="I97" s="191"/>
      <c r="J97" s="191"/>
      <c r="K97" s="191"/>
      <c r="L97" s="191"/>
      <c r="M97" s="191"/>
    </row>
    <row r="98" spans="3:13" x14ac:dyDescent="0.25">
      <c r="C98" s="191"/>
      <c r="D98" s="191"/>
      <c r="E98" s="191"/>
      <c r="F98" s="191"/>
      <c r="G98" s="191"/>
      <c r="H98" s="191"/>
      <c r="I98" s="191"/>
      <c r="J98" s="191"/>
      <c r="K98" s="191"/>
      <c r="L98" s="191"/>
      <c r="M98" s="191"/>
    </row>
    <row r="99" spans="3:13" x14ac:dyDescent="0.25">
      <c r="C99" s="191"/>
      <c r="D99" s="191"/>
      <c r="E99" s="191"/>
      <c r="F99" s="191"/>
      <c r="G99" s="191"/>
      <c r="H99" s="191"/>
      <c r="I99" s="191"/>
      <c r="J99" s="191"/>
      <c r="K99" s="191"/>
      <c r="L99" s="191"/>
      <c r="M99" s="191"/>
    </row>
    <row r="100" spans="3:13" x14ac:dyDescent="0.25">
      <c r="C100" s="191"/>
      <c r="D100" s="191"/>
      <c r="E100" s="191"/>
      <c r="F100" s="191"/>
      <c r="G100" s="191"/>
      <c r="H100" s="191"/>
      <c r="I100" s="191"/>
      <c r="J100" s="191"/>
      <c r="K100" s="191"/>
      <c r="L100" s="191"/>
      <c r="M100" s="191"/>
    </row>
    <row r="101" spans="3:13" x14ac:dyDescent="0.25">
      <c r="C101" s="191"/>
      <c r="D101" s="191"/>
      <c r="E101" s="191"/>
      <c r="F101" s="191"/>
      <c r="G101" s="191"/>
      <c r="H101" s="191"/>
      <c r="I101" s="191"/>
      <c r="J101" s="191"/>
      <c r="K101" s="191"/>
      <c r="L101" s="191"/>
      <c r="M101" s="191"/>
    </row>
    <row r="102" spans="3:13" x14ac:dyDescent="0.25">
      <c r="C102" s="191"/>
      <c r="D102" s="191"/>
      <c r="E102" s="191"/>
      <c r="F102" s="191"/>
      <c r="G102" s="191"/>
      <c r="H102" s="191"/>
      <c r="I102" s="191"/>
      <c r="J102" s="191"/>
      <c r="K102" s="191"/>
      <c r="L102" s="191"/>
      <c r="M102" s="191"/>
    </row>
    <row r="103" spans="3:13" x14ac:dyDescent="0.25">
      <c r="C103" s="191"/>
      <c r="D103" s="191"/>
      <c r="E103" s="191"/>
      <c r="F103" s="191"/>
      <c r="G103" s="191"/>
      <c r="H103" s="191"/>
      <c r="I103" s="191"/>
      <c r="J103" s="191"/>
      <c r="K103" s="191"/>
      <c r="L103" s="191"/>
      <c r="M103" s="191"/>
    </row>
    <row r="104" spans="3:13" x14ac:dyDescent="0.25">
      <c r="C104" s="191"/>
      <c r="D104" s="191"/>
      <c r="E104" s="191"/>
      <c r="F104" s="191"/>
      <c r="G104" s="191"/>
      <c r="H104" s="191"/>
      <c r="I104" s="191"/>
      <c r="J104" s="191"/>
      <c r="K104" s="191"/>
      <c r="L104" s="191"/>
      <c r="M104" s="191"/>
    </row>
    <row r="105" spans="3:13" x14ac:dyDescent="0.25">
      <c r="C105" s="191"/>
      <c r="D105" s="191"/>
      <c r="E105" s="191"/>
      <c r="F105" s="191"/>
      <c r="G105" s="191"/>
      <c r="H105" s="191"/>
      <c r="I105" s="191"/>
      <c r="J105" s="191"/>
      <c r="K105" s="191"/>
      <c r="L105" s="191"/>
      <c r="M105" s="191"/>
    </row>
    <row r="106" spans="3:13" x14ac:dyDescent="0.25">
      <c r="C106" s="191"/>
      <c r="D106" s="191"/>
      <c r="E106" s="191"/>
      <c r="F106" s="191"/>
      <c r="G106" s="191"/>
      <c r="H106" s="191"/>
      <c r="I106" s="191"/>
      <c r="J106" s="191"/>
      <c r="K106" s="191"/>
      <c r="L106" s="191"/>
      <c r="M106" s="191"/>
    </row>
    <row r="107" spans="3:13" x14ac:dyDescent="0.25">
      <c r="C107" s="191"/>
      <c r="D107" s="191"/>
      <c r="E107" s="191"/>
      <c r="F107" s="191"/>
      <c r="G107" s="191"/>
      <c r="H107" s="191"/>
      <c r="I107" s="191"/>
      <c r="J107" s="191"/>
      <c r="K107" s="191"/>
      <c r="L107" s="191"/>
      <c r="M107" s="191"/>
    </row>
    <row r="108" spans="3:13" x14ac:dyDescent="0.25">
      <c r="C108" s="191"/>
      <c r="D108" s="191"/>
      <c r="E108" s="191"/>
      <c r="F108" s="191"/>
      <c r="G108" s="191"/>
      <c r="H108" s="191"/>
      <c r="I108" s="191"/>
      <c r="J108" s="191"/>
      <c r="K108" s="191"/>
      <c r="L108" s="191"/>
      <c r="M108" s="191"/>
    </row>
    <row r="109" spans="3:13" x14ac:dyDescent="0.25">
      <c r="C109" s="191"/>
      <c r="D109" s="191"/>
      <c r="E109" s="191"/>
      <c r="F109" s="191"/>
      <c r="G109" s="191"/>
      <c r="H109" s="191"/>
      <c r="I109" s="191"/>
      <c r="J109" s="191"/>
      <c r="K109" s="191"/>
      <c r="L109" s="191"/>
      <c r="M109" s="191"/>
    </row>
    <row r="110" spans="3:13" x14ac:dyDescent="0.25">
      <c r="C110" s="191"/>
      <c r="D110" s="191"/>
      <c r="E110" s="191"/>
      <c r="F110" s="191"/>
      <c r="G110" s="191"/>
      <c r="H110" s="191"/>
      <c r="I110" s="191"/>
      <c r="J110" s="191"/>
      <c r="K110" s="191"/>
      <c r="L110" s="191"/>
      <c r="M110" s="191"/>
    </row>
    <row r="111" spans="3:13" x14ac:dyDescent="0.25">
      <c r="C111" s="191"/>
      <c r="D111" s="191"/>
      <c r="E111" s="191"/>
      <c r="F111" s="191"/>
      <c r="G111" s="191"/>
      <c r="H111" s="191"/>
      <c r="I111" s="191"/>
      <c r="J111" s="191"/>
      <c r="K111" s="191"/>
      <c r="L111" s="191"/>
      <c r="M111" s="191"/>
    </row>
    <row r="112" spans="3:13" x14ac:dyDescent="0.25">
      <c r="C112" s="191"/>
      <c r="D112" s="191"/>
      <c r="E112" s="191"/>
      <c r="F112" s="191"/>
      <c r="G112" s="191"/>
      <c r="H112" s="191"/>
      <c r="I112" s="191"/>
      <c r="J112" s="191"/>
      <c r="K112" s="191"/>
      <c r="L112" s="191"/>
      <c r="M112" s="191"/>
    </row>
    <row r="113" spans="3:13" x14ac:dyDescent="0.25">
      <c r="C113" s="191"/>
      <c r="D113" s="191"/>
      <c r="E113" s="191"/>
      <c r="F113" s="191"/>
      <c r="G113" s="191"/>
      <c r="H113" s="191"/>
      <c r="I113" s="191"/>
      <c r="J113" s="191"/>
      <c r="K113" s="191"/>
      <c r="L113" s="191"/>
      <c r="M113" s="191"/>
    </row>
    <row r="114" spans="3:13" x14ac:dyDescent="0.25">
      <c r="C114" s="191"/>
      <c r="D114" s="191"/>
      <c r="E114" s="191"/>
      <c r="F114" s="191"/>
      <c r="G114" s="191"/>
      <c r="H114" s="191"/>
      <c r="I114" s="191"/>
      <c r="J114" s="191"/>
      <c r="K114" s="191"/>
      <c r="L114" s="191"/>
      <c r="M114" s="191"/>
    </row>
    <row r="115" spans="3:13" x14ac:dyDescent="0.25">
      <c r="C115" s="191"/>
      <c r="D115" s="191"/>
      <c r="E115" s="191"/>
      <c r="F115" s="191"/>
      <c r="G115" s="191"/>
      <c r="H115" s="191"/>
      <c r="I115" s="191"/>
      <c r="J115" s="191"/>
      <c r="K115" s="191"/>
      <c r="L115" s="191"/>
      <c r="M115" s="191"/>
    </row>
    <row r="116" spans="3:13" x14ac:dyDescent="0.25">
      <c r="C116" s="191"/>
      <c r="D116" s="191"/>
      <c r="E116" s="191"/>
      <c r="F116" s="191"/>
      <c r="G116" s="191"/>
      <c r="H116" s="191"/>
      <c r="I116" s="191"/>
      <c r="J116" s="191"/>
      <c r="K116" s="191"/>
      <c r="L116" s="191"/>
      <c r="M116" s="191"/>
    </row>
    <row r="117" spans="3:13" x14ac:dyDescent="0.25">
      <c r="C117" s="191"/>
      <c r="D117" s="191"/>
      <c r="E117" s="191"/>
      <c r="F117" s="191"/>
      <c r="G117" s="191"/>
      <c r="H117" s="191"/>
      <c r="I117" s="191"/>
      <c r="J117" s="191"/>
      <c r="K117" s="191"/>
      <c r="L117" s="191"/>
      <c r="M117" s="191"/>
    </row>
    <row r="118" spans="3:13" x14ac:dyDescent="0.25">
      <c r="C118" s="191"/>
      <c r="D118" s="191"/>
      <c r="E118" s="191"/>
      <c r="F118" s="191"/>
      <c r="G118" s="191"/>
      <c r="H118" s="191"/>
      <c r="I118" s="191"/>
      <c r="J118" s="191"/>
      <c r="K118" s="191"/>
      <c r="L118" s="191"/>
      <c r="M118" s="191"/>
    </row>
    <row r="119" spans="3:13" x14ac:dyDescent="0.25">
      <c r="C119" s="191"/>
      <c r="D119" s="191"/>
      <c r="E119" s="191"/>
      <c r="F119" s="191"/>
      <c r="G119" s="191"/>
      <c r="H119" s="191"/>
      <c r="I119" s="191"/>
      <c r="J119" s="191"/>
      <c r="K119" s="191"/>
      <c r="L119" s="191"/>
      <c r="M119" s="191"/>
    </row>
    <row r="120" spans="3:13" x14ac:dyDescent="0.25">
      <c r="C120" s="191"/>
      <c r="D120" s="191"/>
      <c r="E120" s="191"/>
      <c r="F120" s="191"/>
      <c r="G120" s="191"/>
      <c r="H120" s="191"/>
      <c r="I120" s="191"/>
      <c r="J120" s="191"/>
      <c r="K120" s="191"/>
      <c r="L120" s="191"/>
      <c r="M120" s="191"/>
    </row>
    <row r="121" spans="3:13" x14ac:dyDescent="0.25">
      <c r="C121" s="191"/>
      <c r="D121" s="191"/>
      <c r="E121" s="191"/>
      <c r="F121" s="191"/>
      <c r="G121" s="191"/>
      <c r="H121" s="191"/>
      <c r="I121" s="191"/>
      <c r="J121" s="191"/>
      <c r="K121" s="191"/>
      <c r="L121" s="191"/>
      <c r="M121" s="191"/>
    </row>
    <row r="122" spans="3:13" x14ac:dyDescent="0.25">
      <c r="C122" s="191"/>
      <c r="D122" s="191"/>
      <c r="E122" s="191"/>
      <c r="F122" s="191"/>
      <c r="G122" s="191"/>
      <c r="H122" s="191"/>
      <c r="I122" s="191"/>
      <c r="J122" s="191"/>
      <c r="K122" s="191"/>
      <c r="L122" s="191"/>
      <c r="M122" s="191"/>
    </row>
    <row r="123" spans="3:13" x14ac:dyDescent="0.25">
      <c r="C123" s="191"/>
      <c r="D123" s="191"/>
      <c r="E123" s="191"/>
      <c r="F123" s="191"/>
      <c r="G123" s="191"/>
      <c r="H123" s="191"/>
      <c r="I123" s="191"/>
      <c r="J123" s="191"/>
      <c r="K123" s="191"/>
      <c r="L123" s="191"/>
      <c r="M123" s="191"/>
    </row>
    <row r="124" spans="3:13" x14ac:dyDescent="0.25">
      <c r="C124" s="191"/>
      <c r="D124" s="191"/>
      <c r="E124" s="191"/>
      <c r="F124" s="191"/>
      <c r="G124" s="191"/>
      <c r="H124" s="191"/>
      <c r="I124" s="191"/>
      <c r="J124" s="191"/>
      <c r="K124" s="191"/>
      <c r="L124" s="191"/>
      <c r="M124" s="191"/>
    </row>
    <row r="125" spans="3:13" x14ac:dyDescent="0.25">
      <c r="C125" s="191"/>
      <c r="D125" s="191"/>
      <c r="E125" s="191"/>
      <c r="F125" s="191"/>
      <c r="G125" s="191"/>
      <c r="H125" s="191"/>
      <c r="I125" s="191"/>
      <c r="J125" s="191"/>
      <c r="K125" s="191"/>
      <c r="L125" s="191"/>
      <c r="M125" s="191"/>
    </row>
    <row r="126" spans="3:13" x14ac:dyDescent="0.25">
      <c r="C126" s="191"/>
      <c r="D126" s="191"/>
      <c r="E126" s="191"/>
      <c r="F126" s="191"/>
      <c r="G126" s="191"/>
      <c r="H126" s="191"/>
      <c r="I126" s="191"/>
      <c r="J126" s="191"/>
      <c r="K126" s="191"/>
      <c r="L126" s="191"/>
      <c r="M126" s="191"/>
    </row>
    <row r="127" spans="3:13" x14ac:dyDescent="0.25">
      <c r="C127" s="191"/>
      <c r="D127" s="191"/>
      <c r="E127" s="191"/>
      <c r="F127" s="191"/>
      <c r="G127" s="191"/>
      <c r="H127" s="191"/>
      <c r="I127" s="191"/>
      <c r="J127" s="191"/>
      <c r="K127" s="191"/>
      <c r="L127" s="191"/>
      <c r="M127" s="191"/>
    </row>
    <row r="128" spans="3:13" x14ac:dyDescent="0.25">
      <c r="C128" s="191"/>
      <c r="D128" s="191"/>
      <c r="E128" s="191"/>
      <c r="F128" s="191"/>
      <c r="G128" s="191"/>
      <c r="H128" s="191"/>
      <c r="I128" s="191"/>
      <c r="J128" s="191"/>
      <c r="K128" s="191"/>
      <c r="L128" s="191"/>
      <c r="M128" s="191"/>
    </row>
    <row r="129" spans="3:13" x14ac:dyDescent="0.25">
      <c r="C129" s="191"/>
      <c r="D129" s="191"/>
      <c r="E129" s="191"/>
      <c r="F129" s="191"/>
      <c r="G129" s="191"/>
      <c r="H129" s="191"/>
      <c r="I129" s="191"/>
      <c r="J129" s="191"/>
      <c r="K129" s="191"/>
      <c r="L129" s="191"/>
      <c r="M129" s="191"/>
    </row>
    <row r="130" spans="3:13" x14ac:dyDescent="0.25">
      <c r="C130" s="191"/>
      <c r="D130" s="191"/>
      <c r="E130" s="191"/>
      <c r="F130" s="191"/>
      <c r="G130" s="191"/>
      <c r="H130" s="191"/>
      <c r="I130" s="191"/>
      <c r="J130" s="191"/>
      <c r="K130" s="191"/>
      <c r="L130" s="191"/>
      <c r="M130" s="191"/>
    </row>
    <row r="131" spans="3:13" x14ac:dyDescent="0.25">
      <c r="C131" s="191"/>
      <c r="D131" s="191"/>
      <c r="E131" s="191"/>
      <c r="F131" s="191"/>
      <c r="G131" s="191"/>
      <c r="H131" s="191"/>
      <c r="I131" s="191"/>
      <c r="J131" s="191"/>
      <c r="K131" s="191"/>
      <c r="L131" s="191"/>
      <c r="M131" s="191"/>
    </row>
    <row r="132" spans="3:13" x14ac:dyDescent="0.25">
      <c r="C132" s="191"/>
      <c r="D132" s="191"/>
      <c r="E132" s="191"/>
      <c r="F132" s="191"/>
      <c r="G132" s="191"/>
      <c r="H132" s="191"/>
      <c r="I132" s="191"/>
      <c r="J132" s="191"/>
      <c r="K132" s="191"/>
      <c r="L132" s="191"/>
      <c r="M132" s="191"/>
    </row>
    <row r="133" spans="3:13" x14ac:dyDescent="0.25">
      <c r="C133" s="191"/>
      <c r="D133" s="191"/>
      <c r="E133" s="191"/>
      <c r="F133" s="191"/>
      <c r="G133" s="191"/>
      <c r="H133" s="191"/>
      <c r="I133" s="191"/>
      <c r="J133" s="191"/>
      <c r="K133" s="191"/>
      <c r="L133" s="191"/>
      <c r="M133" s="191"/>
    </row>
    <row r="134" spans="3:13" x14ac:dyDescent="0.25">
      <c r="C134" s="191"/>
      <c r="D134" s="191"/>
      <c r="E134" s="191"/>
      <c r="F134" s="191"/>
      <c r="G134" s="191"/>
      <c r="H134" s="191"/>
      <c r="I134" s="191"/>
      <c r="J134" s="191"/>
      <c r="K134" s="191"/>
      <c r="L134" s="191"/>
      <c r="M134" s="191"/>
    </row>
    <row r="135" spans="3:13" x14ac:dyDescent="0.25">
      <c r="C135" s="191"/>
      <c r="D135" s="191"/>
      <c r="E135" s="191"/>
      <c r="F135" s="191"/>
      <c r="G135" s="191"/>
      <c r="H135" s="191"/>
      <c r="I135" s="191"/>
      <c r="J135" s="191"/>
      <c r="K135" s="191"/>
      <c r="L135" s="191"/>
      <c r="M135" s="191"/>
    </row>
    <row r="136" spans="3:13" x14ac:dyDescent="0.25">
      <c r="C136" s="191"/>
      <c r="D136" s="191"/>
      <c r="E136" s="191"/>
      <c r="F136" s="191"/>
      <c r="G136" s="191"/>
      <c r="H136" s="191"/>
      <c r="I136" s="191"/>
      <c r="J136" s="191"/>
      <c r="K136" s="191"/>
      <c r="L136" s="191"/>
      <c r="M136" s="191"/>
    </row>
    <row r="137" spans="3:13" x14ac:dyDescent="0.25">
      <c r="C137" s="191"/>
      <c r="D137" s="191"/>
      <c r="E137" s="191"/>
      <c r="F137" s="191"/>
      <c r="G137" s="191"/>
      <c r="H137" s="191"/>
      <c r="I137" s="191"/>
      <c r="J137" s="191"/>
      <c r="K137" s="191"/>
      <c r="L137" s="191"/>
      <c r="M137" s="191"/>
    </row>
    <row r="138" spans="3:13" x14ac:dyDescent="0.25">
      <c r="C138" s="191"/>
      <c r="D138" s="191"/>
      <c r="E138" s="191"/>
      <c r="F138" s="191"/>
      <c r="G138" s="191"/>
      <c r="H138" s="191"/>
      <c r="I138" s="191"/>
      <c r="J138" s="191"/>
      <c r="K138" s="191"/>
      <c r="L138" s="191"/>
      <c r="M138" s="191"/>
    </row>
    <row r="139" spans="3:13" x14ac:dyDescent="0.25">
      <c r="C139" s="191"/>
      <c r="D139" s="191"/>
      <c r="E139" s="191"/>
      <c r="F139" s="191"/>
      <c r="G139" s="191"/>
      <c r="H139" s="191"/>
      <c r="I139" s="191"/>
      <c r="J139" s="191"/>
      <c r="K139" s="191"/>
      <c r="L139" s="191"/>
      <c r="M139" s="191"/>
    </row>
    <row r="140" spans="3:13" x14ac:dyDescent="0.25">
      <c r="C140" s="191"/>
      <c r="D140" s="191"/>
      <c r="E140" s="191"/>
      <c r="F140" s="191"/>
      <c r="G140" s="191"/>
      <c r="H140" s="191"/>
      <c r="I140" s="191"/>
      <c r="J140" s="191"/>
      <c r="K140" s="191"/>
      <c r="L140" s="191"/>
      <c r="M140" s="191"/>
    </row>
    <row r="141" spans="3:13" x14ac:dyDescent="0.25">
      <c r="C141" s="191"/>
      <c r="D141" s="191"/>
      <c r="E141" s="191"/>
      <c r="F141" s="191"/>
      <c r="G141" s="191"/>
      <c r="H141" s="191"/>
      <c r="I141" s="191"/>
      <c r="J141" s="191"/>
      <c r="K141" s="191"/>
      <c r="L141" s="191"/>
      <c r="M141" s="191"/>
    </row>
    <row r="142" spans="3:13" x14ac:dyDescent="0.25">
      <c r="C142" s="191"/>
      <c r="D142" s="191"/>
      <c r="E142" s="191"/>
      <c r="F142" s="191"/>
      <c r="G142" s="191"/>
      <c r="H142" s="191"/>
      <c r="I142" s="191"/>
      <c r="J142" s="191"/>
      <c r="K142" s="191"/>
      <c r="L142" s="191"/>
      <c r="M142" s="191"/>
    </row>
    <row r="143" spans="3:13" x14ac:dyDescent="0.25">
      <c r="C143" s="191"/>
      <c r="D143" s="191"/>
      <c r="E143" s="191"/>
      <c r="F143" s="191"/>
      <c r="G143" s="191"/>
      <c r="H143" s="191"/>
      <c r="I143" s="191"/>
      <c r="J143" s="191"/>
      <c r="K143" s="191"/>
      <c r="L143" s="191"/>
      <c r="M143" s="191"/>
    </row>
    <row r="144" spans="3:13" x14ac:dyDescent="0.25">
      <c r="C144" s="191"/>
      <c r="D144" s="191"/>
      <c r="E144" s="191"/>
      <c r="F144" s="191"/>
      <c r="G144" s="191"/>
      <c r="H144" s="191"/>
      <c r="I144" s="191"/>
      <c r="J144" s="191"/>
      <c r="K144" s="191"/>
      <c r="L144" s="191"/>
      <c r="M144" s="191"/>
    </row>
    <row r="145" spans="3:13" x14ac:dyDescent="0.25">
      <c r="C145" s="191"/>
      <c r="D145" s="191"/>
      <c r="E145" s="191"/>
      <c r="F145" s="191"/>
      <c r="G145" s="191"/>
      <c r="H145" s="191"/>
      <c r="I145" s="191"/>
      <c r="J145" s="191"/>
      <c r="K145" s="191"/>
      <c r="L145" s="191"/>
      <c r="M145" s="191"/>
    </row>
    <row r="146" spans="3:13" x14ac:dyDescent="0.25">
      <c r="C146" s="191"/>
      <c r="D146" s="191"/>
      <c r="E146" s="191"/>
      <c r="F146" s="191"/>
      <c r="G146" s="191"/>
      <c r="H146" s="191"/>
      <c r="I146" s="191"/>
      <c r="J146" s="191"/>
      <c r="K146" s="191"/>
      <c r="L146" s="191"/>
      <c r="M146" s="191"/>
    </row>
    <row r="147" spans="3:13" x14ac:dyDescent="0.25">
      <c r="C147" s="191"/>
      <c r="D147" s="191"/>
      <c r="E147" s="191"/>
      <c r="F147" s="191"/>
      <c r="G147" s="191"/>
      <c r="H147" s="191"/>
      <c r="I147" s="191"/>
      <c r="J147" s="191"/>
      <c r="K147" s="191"/>
      <c r="L147" s="191"/>
      <c r="M147" s="191"/>
    </row>
    <row r="148" spans="3:13" x14ac:dyDescent="0.25">
      <c r="C148" s="191"/>
      <c r="D148" s="191"/>
      <c r="E148" s="191"/>
      <c r="F148" s="191"/>
      <c r="G148" s="191"/>
      <c r="H148" s="191"/>
      <c r="I148" s="191"/>
      <c r="J148" s="191"/>
      <c r="K148" s="191"/>
      <c r="L148" s="191"/>
      <c r="M148" s="191"/>
    </row>
    <row r="149" spans="3:13" x14ac:dyDescent="0.25">
      <c r="C149" s="191"/>
      <c r="D149" s="191"/>
      <c r="E149" s="191"/>
      <c r="F149" s="191"/>
      <c r="G149" s="191"/>
      <c r="H149" s="191"/>
      <c r="I149" s="191"/>
      <c r="J149" s="191"/>
      <c r="K149" s="191"/>
      <c r="L149" s="191"/>
      <c r="M149" s="191"/>
    </row>
    <row r="150" spans="3:13" x14ac:dyDescent="0.25">
      <c r="C150" s="191"/>
      <c r="D150" s="191"/>
      <c r="E150" s="191"/>
      <c r="F150" s="191"/>
      <c r="G150" s="191"/>
      <c r="H150" s="191"/>
      <c r="I150" s="191"/>
      <c r="J150" s="191"/>
      <c r="K150" s="191"/>
      <c r="L150" s="191"/>
      <c r="M150" s="191"/>
    </row>
    <row r="151" spans="3:13" x14ac:dyDescent="0.25">
      <c r="C151" s="191"/>
      <c r="D151" s="191"/>
      <c r="E151" s="191"/>
      <c r="F151" s="191"/>
      <c r="G151" s="191"/>
      <c r="H151" s="191"/>
      <c r="I151" s="191"/>
      <c r="J151" s="191"/>
      <c r="K151" s="191"/>
      <c r="L151" s="191"/>
      <c r="M151" s="191"/>
    </row>
    <row r="152" spans="3:13" x14ac:dyDescent="0.25">
      <c r="C152" s="191"/>
      <c r="D152" s="191"/>
      <c r="E152" s="191"/>
      <c r="F152" s="191"/>
      <c r="G152" s="191"/>
      <c r="H152" s="191"/>
      <c r="I152" s="191"/>
      <c r="J152" s="191"/>
      <c r="K152" s="191"/>
      <c r="L152" s="191"/>
      <c r="M152" s="191"/>
    </row>
    <row r="153" spans="3:13" x14ac:dyDescent="0.25">
      <c r="C153" s="191"/>
      <c r="D153" s="191"/>
      <c r="E153" s="191"/>
      <c r="F153" s="191"/>
      <c r="G153" s="191"/>
      <c r="H153" s="191"/>
      <c r="I153" s="191"/>
      <c r="J153" s="191"/>
      <c r="K153" s="191"/>
      <c r="L153" s="191"/>
      <c r="M153" s="191"/>
    </row>
    <row r="154" spans="3:13" x14ac:dyDescent="0.25">
      <c r="C154" s="191"/>
      <c r="D154" s="191"/>
      <c r="E154" s="191"/>
      <c r="F154" s="191"/>
      <c r="G154" s="191"/>
      <c r="H154" s="191"/>
      <c r="I154" s="191"/>
      <c r="J154" s="191"/>
      <c r="K154" s="191"/>
      <c r="L154" s="191"/>
      <c r="M154" s="191"/>
    </row>
    <row r="155" spans="3:13" x14ac:dyDescent="0.25">
      <c r="C155" s="191"/>
      <c r="D155" s="191"/>
      <c r="E155" s="191"/>
      <c r="F155" s="191"/>
      <c r="G155" s="191"/>
      <c r="H155" s="191"/>
      <c r="I155" s="191"/>
      <c r="J155" s="191"/>
      <c r="K155" s="191"/>
      <c r="L155" s="191"/>
      <c r="M155" s="191"/>
    </row>
    <row r="156" spans="3:13" x14ac:dyDescent="0.25">
      <c r="C156" s="191"/>
      <c r="D156" s="191"/>
      <c r="E156" s="191"/>
      <c r="F156" s="191"/>
      <c r="G156" s="191"/>
      <c r="H156" s="191"/>
      <c r="I156" s="191"/>
      <c r="J156" s="191"/>
      <c r="K156" s="191"/>
      <c r="L156" s="191"/>
      <c r="M156" s="191"/>
    </row>
    <row r="157" spans="3:13" x14ac:dyDescent="0.25">
      <c r="C157" s="191"/>
      <c r="D157" s="191"/>
      <c r="E157" s="191"/>
      <c r="F157" s="191"/>
      <c r="G157" s="191"/>
      <c r="H157" s="191"/>
      <c r="I157" s="191"/>
      <c r="J157" s="191"/>
      <c r="K157" s="191"/>
      <c r="L157" s="191"/>
      <c r="M157" s="191"/>
    </row>
    <row r="158" spans="3:13" x14ac:dyDescent="0.25">
      <c r="C158" s="191"/>
      <c r="D158" s="191"/>
      <c r="E158" s="191"/>
      <c r="F158" s="191"/>
      <c r="G158" s="191"/>
      <c r="H158" s="191"/>
      <c r="I158" s="191"/>
      <c r="J158" s="191"/>
      <c r="K158" s="191"/>
      <c r="L158" s="191"/>
      <c r="M158" s="191"/>
    </row>
    <row r="159" spans="3:13" x14ac:dyDescent="0.25">
      <c r="C159" s="191"/>
      <c r="D159" s="191"/>
      <c r="E159" s="191"/>
      <c r="F159" s="191"/>
      <c r="G159" s="191"/>
      <c r="H159" s="191"/>
      <c r="I159" s="191"/>
      <c r="J159" s="191"/>
      <c r="K159" s="191"/>
      <c r="L159" s="191"/>
      <c r="M159" s="191"/>
    </row>
    <row r="160" spans="3:13" x14ac:dyDescent="0.25">
      <c r="C160" s="191"/>
      <c r="D160" s="191"/>
      <c r="E160" s="191"/>
      <c r="F160" s="191"/>
      <c r="G160" s="191"/>
      <c r="H160" s="191"/>
      <c r="I160" s="191"/>
      <c r="J160" s="191"/>
      <c r="K160" s="191"/>
      <c r="L160" s="191"/>
      <c r="M160" s="191"/>
    </row>
    <row r="161" spans="3:13" x14ac:dyDescent="0.25">
      <c r="C161" s="191"/>
      <c r="D161" s="191"/>
      <c r="E161" s="191"/>
      <c r="F161" s="191"/>
      <c r="G161" s="191"/>
      <c r="H161" s="191"/>
      <c r="I161" s="191"/>
      <c r="J161" s="191"/>
      <c r="K161" s="191"/>
      <c r="L161" s="191"/>
      <c r="M161" s="191"/>
    </row>
    <row r="162" spans="3:13" x14ac:dyDescent="0.25">
      <c r="C162" s="191"/>
      <c r="D162" s="191"/>
      <c r="E162" s="191"/>
      <c r="F162" s="191"/>
      <c r="G162" s="191"/>
      <c r="H162" s="191"/>
      <c r="I162" s="191"/>
      <c r="J162" s="191"/>
      <c r="K162" s="191"/>
      <c r="L162" s="191"/>
      <c r="M162" s="191"/>
    </row>
    <row r="163" spans="3:13" x14ac:dyDescent="0.25">
      <c r="C163" s="191"/>
      <c r="D163" s="191"/>
      <c r="E163" s="191"/>
      <c r="F163" s="191"/>
      <c r="G163" s="191"/>
      <c r="H163" s="191"/>
      <c r="I163" s="191"/>
      <c r="J163" s="191"/>
      <c r="K163" s="191"/>
      <c r="L163" s="191"/>
      <c r="M163" s="191"/>
    </row>
    <row r="164" spans="3:13" x14ac:dyDescent="0.25">
      <c r="C164" s="191"/>
      <c r="D164" s="191"/>
      <c r="E164" s="191"/>
      <c r="F164" s="191"/>
      <c r="G164" s="191"/>
      <c r="H164" s="191"/>
      <c r="I164" s="191"/>
      <c r="J164" s="191"/>
      <c r="K164" s="191"/>
      <c r="L164" s="191"/>
      <c r="M164" s="191"/>
    </row>
    <row r="165" spans="3:13" x14ac:dyDescent="0.25">
      <c r="C165" s="191"/>
      <c r="D165" s="191"/>
      <c r="E165" s="191"/>
      <c r="F165" s="191"/>
      <c r="G165" s="191"/>
      <c r="H165" s="191"/>
      <c r="I165" s="191"/>
      <c r="J165" s="191"/>
      <c r="K165" s="191"/>
      <c r="L165" s="191"/>
      <c r="M165" s="191"/>
    </row>
    <row r="166" spans="3:13" x14ac:dyDescent="0.25">
      <c r="C166" s="191"/>
      <c r="D166" s="191"/>
      <c r="E166" s="191"/>
      <c r="F166" s="191"/>
      <c r="G166" s="191"/>
      <c r="H166" s="191"/>
      <c r="I166" s="191"/>
      <c r="J166" s="191"/>
      <c r="K166" s="191"/>
      <c r="L166" s="191"/>
      <c r="M166" s="191"/>
    </row>
    <row r="167" spans="3:13" x14ac:dyDescent="0.25">
      <c r="C167" s="191"/>
      <c r="D167" s="191"/>
      <c r="E167" s="191"/>
      <c r="F167" s="191"/>
      <c r="G167" s="191"/>
      <c r="H167" s="191"/>
      <c r="I167" s="191"/>
      <c r="J167" s="191"/>
      <c r="K167" s="191"/>
      <c r="L167" s="191"/>
      <c r="M167" s="191"/>
    </row>
    <row r="168" spans="3:13" x14ac:dyDescent="0.25">
      <c r="C168" s="191"/>
      <c r="D168" s="191"/>
      <c r="E168" s="191"/>
      <c r="F168" s="191"/>
      <c r="G168" s="191"/>
      <c r="H168" s="191"/>
      <c r="I168" s="191"/>
      <c r="J168" s="191"/>
      <c r="K168" s="191"/>
      <c r="L168" s="191"/>
      <c r="M168" s="191"/>
    </row>
  </sheetData>
  <sheetProtection password="FFED" sheet="1" objects="1" scenarios="1" formatCells="0" formatColumns="0" formatRows="0"/>
  <mergeCells count="168">
    <mergeCell ref="C7:M7"/>
    <mergeCell ref="C8:M8"/>
    <mergeCell ref="C9:M9"/>
    <mergeCell ref="C10:M10"/>
    <mergeCell ref="C11:M11"/>
    <mergeCell ref="C12:M12"/>
    <mergeCell ref="C3:M3"/>
    <mergeCell ref="C1:M1"/>
    <mergeCell ref="C2:M2"/>
    <mergeCell ref="C4:M4"/>
    <mergeCell ref="C5:M5"/>
    <mergeCell ref="C6:M6"/>
    <mergeCell ref="C19:M19"/>
    <mergeCell ref="C20:M20"/>
    <mergeCell ref="C21:M21"/>
    <mergeCell ref="C22:M22"/>
    <mergeCell ref="C23:M23"/>
    <mergeCell ref="C24:M24"/>
    <mergeCell ref="C13:M13"/>
    <mergeCell ref="C14:M14"/>
    <mergeCell ref="C15:M15"/>
    <mergeCell ref="C16:M16"/>
    <mergeCell ref="C17:M17"/>
    <mergeCell ref="C18:M18"/>
    <mergeCell ref="C31:M31"/>
    <mergeCell ref="C32:M32"/>
    <mergeCell ref="C33:M33"/>
    <mergeCell ref="C34:M34"/>
    <mergeCell ref="C35:M35"/>
    <mergeCell ref="C36:M36"/>
    <mergeCell ref="C25:M25"/>
    <mergeCell ref="C26:M26"/>
    <mergeCell ref="C27:M27"/>
    <mergeCell ref="C28:M28"/>
    <mergeCell ref="C29:M29"/>
    <mergeCell ref="C30:M30"/>
    <mergeCell ref="C43:M43"/>
    <mergeCell ref="C44:M44"/>
    <mergeCell ref="C45:M45"/>
    <mergeCell ref="C46:M46"/>
    <mergeCell ref="C47:M47"/>
    <mergeCell ref="C48:M48"/>
    <mergeCell ref="C37:M37"/>
    <mergeCell ref="C38:M38"/>
    <mergeCell ref="C39:M39"/>
    <mergeCell ref="C40:M40"/>
    <mergeCell ref="C41:M41"/>
    <mergeCell ref="C42:M42"/>
    <mergeCell ref="C55:M55"/>
    <mergeCell ref="C56:M56"/>
    <mergeCell ref="C57:M57"/>
    <mergeCell ref="C58:M58"/>
    <mergeCell ref="C59:M59"/>
    <mergeCell ref="C60:M60"/>
    <mergeCell ref="C49:M49"/>
    <mergeCell ref="C50:M50"/>
    <mergeCell ref="C51:M51"/>
    <mergeCell ref="C52:M52"/>
    <mergeCell ref="C53:M53"/>
    <mergeCell ref="C54:M54"/>
    <mergeCell ref="C67:M67"/>
    <mergeCell ref="C68:M68"/>
    <mergeCell ref="C69:M69"/>
    <mergeCell ref="C70:M70"/>
    <mergeCell ref="C71:M71"/>
    <mergeCell ref="C72:M72"/>
    <mergeCell ref="C61:M61"/>
    <mergeCell ref="C62:M62"/>
    <mergeCell ref="C63:M63"/>
    <mergeCell ref="C64:M64"/>
    <mergeCell ref="C65:M65"/>
    <mergeCell ref="C66:M66"/>
    <mergeCell ref="C79:M79"/>
    <mergeCell ref="C80:M80"/>
    <mergeCell ref="C81:M81"/>
    <mergeCell ref="C82:M82"/>
    <mergeCell ref="C83:M83"/>
    <mergeCell ref="C84:M84"/>
    <mergeCell ref="C73:M73"/>
    <mergeCell ref="C74:M74"/>
    <mergeCell ref="C75:M75"/>
    <mergeCell ref="C76:M76"/>
    <mergeCell ref="C77:M77"/>
    <mergeCell ref="C78:M78"/>
    <mergeCell ref="C91:M91"/>
    <mergeCell ref="C92:M92"/>
    <mergeCell ref="C93:M93"/>
    <mergeCell ref="C94:M94"/>
    <mergeCell ref="C95:M95"/>
    <mergeCell ref="C96:M96"/>
    <mergeCell ref="C85:M85"/>
    <mergeCell ref="C86:M86"/>
    <mergeCell ref="C87:M87"/>
    <mergeCell ref="C88:M88"/>
    <mergeCell ref="C89:M89"/>
    <mergeCell ref="C90:M90"/>
    <mergeCell ref="C103:M103"/>
    <mergeCell ref="C104:M104"/>
    <mergeCell ref="C105:M105"/>
    <mergeCell ref="C106:M106"/>
    <mergeCell ref="C107:M107"/>
    <mergeCell ref="C108:M108"/>
    <mergeCell ref="C97:M97"/>
    <mergeCell ref="C98:M98"/>
    <mergeCell ref="C99:M99"/>
    <mergeCell ref="C100:M100"/>
    <mergeCell ref="C101:M101"/>
    <mergeCell ref="C102:M102"/>
    <mergeCell ref="C115:M115"/>
    <mergeCell ref="C116:M116"/>
    <mergeCell ref="C117:M117"/>
    <mergeCell ref="C118:M118"/>
    <mergeCell ref="C119:M119"/>
    <mergeCell ref="C120:M120"/>
    <mergeCell ref="C109:M109"/>
    <mergeCell ref="C110:M110"/>
    <mergeCell ref="C111:M111"/>
    <mergeCell ref="C112:M112"/>
    <mergeCell ref="C113:M113"/>
    <mergeCell ref="C114:M114"/>
    <mergeCell ref="C127:M127"/>
    <mergeCell ref="C128:M128"/>
    <mergeCell ref="C129:M129"/>
    <mergeCell ref="C130:M130"/>
    <mergeCell ref="C131:M131"/>
    <mergeCell ref="C132:M132"/>
    <mergeCell ref="C121:M121"/>
    <mergeCell ref="C122:M122"/>
    <mergeCell ref="C123:M123"/>
    <mergeCell ref="C124:M124"/>
    <mergeCell ref="C125:M125"/>
    <mergeCell ref="C126:M126"/>
    <mergeCell ref="C139:M139"/>
    <mergeCell ref="C140:M140"/>
    <mergeCell ref="C141:M141"/>
    <mergeCell ref="C142:M142"/>
    <mergeCell ref="C143:M143"/>
    <mergeCell ref="C144:M144"/>
    <mergeCell ref="C133:M133"/>
    <mergeCell ref="C134:M134"/>
    <mergeCell ref="C135:M135"/>
    <mergeCell ref="C136:M136"/>
    <mergeCell ref="C137:M137"/>
    <mergeCell ref="C138:M138"/>
    <mergeCell ref="C151:M151"/>
    <mergeCell ref="C152:M152"/>
    <mergeCell ref="C153:M153"/>
    <mergeCell ref="C154:M154"/>
    <mergeCell ref="C155:M155"/>
    <mergeCell ref="C156:M156"/>
    <mergeCell ref="C145:M145"/>
    <mergeCell ref="C146:M146"/>
    <mergeCell ref="C147:M147"/>
    <mergeCell ref="C148:M148"/>
    <mergeCell ref="C149:M149"/>
    <mergeCell ref="C150:M150"/>
    <mergeCell ref="C163:M163"/>
    <mergeCell ref="C164:M164"/>
    <mergeCell ref="C165:M165"/>
    <mergeCell ref="C166:M166"/>
    <mergeCell ref="C167:M167"/>
    <mergeCell ref="C168:M168"/>
    <mergeCell ref="C157:M157"/>
    <mergeCell ref="C158:M158"/>
    <mergeCell ref="C159:M159"/>
    <mergeCell ref="C160:M160"/>
    <mergeCell ref="C161:M161"/>
    <mergeCell ref="C162:M16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
  <sheetViews>
    <sheetView workbookViewId="0">
      <selection sqref="A1:N1"/>
    </sheetView>
  </sheetViews>
  <sheetFormatPr defaultRowHeight="15" x14ac:dyDescent="0.25"/>
  <sheetData>
    <row r="1" spans="1:14" ht="57.75" customHeight="1" x14ac:dyDescent="0.25">
      <c r="A1" s="193" t="s">
        <v>53</v>
      </c>
      <c r="B1" s="193"/>
      <c r="C1" s="193"/>
      <c r="D1" s="193"/>
      <c r="E1" s="193"/>
      <c r="F1" s="193"/>
      <c r="G1" s="193"/>
      <c r="H1" s="193"/>
      <c r="I1" s="193"/>
      <c r="J1" s="193"/>
      <c r="K1" s="193"/>
      <c r="L1" s="193"/>
      <c r="M1" s="193"/>
      <c r="N1" s="193"/>
    </row>
    <row r="2" spans="1:14" ht="29.25" customHeight="1" x14ac:dyDescent="0.25">
      <c r="A2" s="193" t="s">
        <v>43</v>
      </c>
      <c r="B2" s="193"/>
      <c r="C2" s="193"/>
      <c r="D2" s="193"/>
      <c r="E2" s="193"/>
      <c r="F2" s="193"/>
      <c r="G2" s="193"/>
      <c r="H2" s="193"/>
      <c r="I2" s="193"/>
      <c r="J2" s="193"/>
      <c r="K2" s="193"/>
      <c r="L2" s="193"/>
      <c r="M2" s="193"/>
      <c r="N2" s="193"/>
    </row>
    <row r="3" spans="1:14" ht="26.25" customHeight="1" x14ac:dyDescent="0.25">
      <c r="A3" s="193" t="s">
        <v>46</v>
      </c>
      <c r="B3" s="193"/>
      <c r="C3" s="193"/>
      <c r="D3" s="193"/>
      <c r="E3" s="193"/>
      <c r="F3" s="193"/>
      <c r="G3" s="193"/>
      <c r="H3" s="193"/>
      <c r="I3" s="193"/>
      <c r="J3" s="193"/>
      <c r="K3" s="193"/>
      <c r="L3" s="193"/>
      <c r="M3" s="193"/>
      <c r="N3" s="193"/>
    </row>
    <row r="4" spans="1:14" ht="59.25" customHeight="1" x14ac:dyDescent="0.25">
      <c r="A4" s="193" t="s">
        <v>50</v>
      </c>
      <c r="B4" s="193"/>
      <c r="C4" s="193"/>
      <c r="D4" s="193"/>
      <c r="E4" s="193"/>
      <c r="F4" s="193"/>
      <c r="G4" s="193"/>
      <c r="H4" s="193"/>
      <c r="I4" s="193"/>
      <c r="J4" s="193"/>
      <c r="K4" s="193"/>
      <c r="L4" s="193"/>
      <c r="M4" s="193"/>
      <c r="N4" s="193"/>
    </row>
    <row r="5" spans="1:14" ht="87.75" customHeight="1" x14ac:dyDescent="0.25">
      <c r="A5" s="193" t="s">
        <v>119</v>
      </c>
      <c r="B5" s="193"/>
      <c r="C5" s="193"/>
      <c r="D5" s="193"/>
      <c r="E5" s="193"/>
      <c r="F5" s="193"/>
      <c r="G5" s="193"/>
      <c r="H5" s="193"/>
      <c r="I5" s="193"/>
      <c r="J5" s="193"/>
      <c r="K5" s="193"/>
      <c r="L5" s="193"/>
      <c r="M5" s="193"/>
      <c r="N5" s="193"/>
    </row>
    <row r="6" spans="1:14" ht="64.5" customHeight="1" x14ac:dyDescent="0.25">
      <c r="A6" s="193" t="s">
        <v>47</v>
      </c>
      <c r="B6" s="193"/>
      <c r="C6" s="193"/>
      <c r="D6" s="193"/>
      <c r="E6" s="193"/>
      <c r="F6" s="193"/>
      <c r="G6" s="193"/>
      <c r="H6" s="193"/>
      <c r="I6" s="193"/>
      <c r="J6" s="193"/>
      <c r="K6" s="193"/>
      <c r="L6" s="193"/>
      <c r="M6" s="193"/>
      <c r="N6" s="193"/>
    </row>
    <row r="7" spans="1:14" ht="34.5" customHeight="1" x14ac:dyDescent="0.25">
      <c r="A7" s="193" t="s">
        <v>48</v>
      </c>
      <c r="B7" s="193"/>
      <c r="C7" s="193"/>
      <c r="D7" s="193"/>
      <c r="E7" s="193"/>
      <c r="F7" s="193"/>
      <c r="G7" s="193"/>
      <c r="H7" s="193"/>
      <c r="I7" s="193"/>
      <c r="J7" s="193"/>
      <c r="K7" s="193"/>
      <c r="L7" s="193"/>
      <c r="M7" s="193"/>
      <c r="N7" s="193"/>
    </row>
    <row r="8" spans="1:14" ht="30.75" customHeight="1" x14ac:dyDescent="0.25">
      <c r="A8" s="193" t="s">
        <v>49</v>
      </c>
      <c r="B8" s="193"/>
      <c r="C8" s="193"/>
      <c r="D8" s="193"/>
      <c r="E8" s="193"/>
      <c r="F8" s="193"/>
      <c r="G8" s="193"/>
      <c r="H8" s="193"/>
      <c r="I8" s="193"/>
      <c r="J8" s="193"/>
      <c r="K8" s="193"/>
      <c r="L8" s="193"/>
      <c r="M8" s="193"/>
      <c r="N8" s="193"/>
    </row>
    <row r="9" spans="1:14" ht="14.45" customHeight="1" x14ac:dyDescent="0.25">
      <c r="A9" s="192"/>
      <c r="B9" s="192"/>
      <c r="C9" s="192"/>
      <c r="D9" s="192"/>
      <c r="E9" s="192"/>
      <c r="F9" s="192"/>
      <c r="G9" s="192"/>
      <c r="H9" s="192"/>
      <c r="I9" s="192"/>
      <c r="J9" s="192"/>
      <c r="K9" s="192"/>
      <c r="L9" s="192"/>
      <c r="M9" s="192"/>
      <c r="N9" s="192"/>
    </row>
    <row r="10" spans="1:14" ht="14.45" customHeight="1" x14ac:dyDescent="0.25">
      <c r="A10" s="192"/>
      <c r="B10" s="192"/>
      <c r="C10" s="192"/>
      <c r="D10" s="192"/>
      <c r="E10" s="192"/>
      <c r="F10" s="192"/>
      <c r="G10" s="192"/>
      <c r="H10" s="192"/>
      <c r="I10" s="192"/>
      <c r="J10" s="192"/>
      <c r="K10" s="192"/>
      <c r="L10" s="192"/>
      <c r="M10" s="192"/>
      <c r="N10" s="192"/>
    </row>
    <row r="11" spans="1:14" ht="14.45" customHeight="1" x14ac:dyDescent="0.25">
      <c r="A11" s="192"/>
      <c r="B11" s="192"/>
      <c r="C11" s="192"/>
      <c r="D11" s="192"/>
      <c r="E11" s="192"/>
      <c r="F11" s="192"/>
      <c r="G11" s="192"/>
      <c r="H11" s="192"/>
      <c r="I11" s="192"/>
      <c r="J11" s="192"/>
      <c r="K11" s="192"/>
      <c r="L11" s="192"/>
      <c r="M11" s="192"/>
      <c r="N11" s="192"/>
    </row>
    <row r="12" spans="1:14" ht="14.45" customHeight="1" x14ac:dyDescent="0.25">
      <c r="A12" s="192"/>
      <c r="B12" s="192"/>
      <c r="C12" s="192"/>
      <c r="D12" s="192"/>
      <c r="E12" s="192"/>
      <c r="F12" s="192"/>
      <c r="G12" s="192"/>
      <c r="H12" s="192"/>
      <c r="I12" s="192"/>
      <c r="J12" s="192"/>
      <c r="K12" s="192"/>
      <c r="L12" s="192"/>
      <c r="M12" s="192"/>
      <c r="N12" s="192"/>
    </row>
    <row r="13" spans="1:14" ht="14.45" customHeight="1" x14ac:dyDescent="0.25">
      <c r="A13" s="192"/>
      <c r="B13" s="192"/>
      <c r="C13" s="192"/>
      <c r="D13" s="192"/>
      <c r="E13" s="192"/>
      <c r="F13" s="192"/>
      <c r="G13" s="192"/>
      <c r="H13" s="192"/>
      <c r="I13" s="192"/>
      <c r="J13" s="192"/>
      <c r="K13" s="192"/>
      <c r="L13" s="192"/>
      <c r="M13" s="192"/>
      <c r="N13" s="192"/>
    </row>
    <row r="14" spans="1:14" ht="14.45" customHeight="1" x14ac:dyDescent="0.25">
      <c r="A14" s="192"/>
      <c r="B14" s="192"/>
      <c r="C14" s="192"/>
      <c r="D14" s="192"/>
      <c r="E14" s="192"/>
      <c r="F14" s="192"/>
      <c r="G14" s="192"/>
      <c r="H14" s="192"/>
      <c r="I14" s="192"/>
      <c r="J14" s="192"/>
      <c r="K14" s="192"/>
      <c r="L14" s="192"/>
      <c r="M14" s="192"/>
      <c r="N14" s="192"/>
    </row>
    <row r="15" spans="1:14" ht="14.45" customHeight="1" x14ac:dyDescent="0.25">
      <c r="A15" s="192"/>
      <c r="B15" s="192"/>
      <c r="C15" s="192"/>
      <c r="D15" s="192"/>
      <c r="E15" s="192"/>
      <c r="F15" s="192"/>
      <c r="G15" s="192"/>
      <c r="H15" s="192"/>
      <c r="I15" s="192"/>
      <c r="J15" s="192"/>
      <c r="K15" s="192"/>
      <c r="L15" s="192"/>
      <c r="M15" s="192"/>
      <c r="N15" s="192"/>
    </row>
    <row r="16" spans="1:14" ht="14.45" customHeight="1" x14ac:dyDescent="0.25">
      <c r="A16" s="192"/>
      <c r="B16" s="192"/>
      <c r="C16" s="192"/>
      <c r="D16" s="192"/>
      <c r="E16" s="192"/>
      <c r="F16" s="192"/>
      <c r="G16" s="192"/>
      <c r="H16" s="192"/>
      <c r="I16" s="192"/>
      <c r="J16" s="192"/>
      <c r="K16" s="192"/>
      <c r="L16" s="192"/>
      <c r="M16" s="192"/>
      <c r="N16" s="192"/>
    </row>
    <row r="17" spans="1:14" ht="14.45" customHeight="1" x14ac:dyDescent="0.25">
      <c r="A17" s="192"/>
      <c r="B17" s="192"/>
      <c r="C17" s="192"/>
      <c r="D17" s="192"/>
      <c r="E17" s="192"/>
      <c r="F17" s="192"/>
      <c r="G17" s="192"/>
      <c r="H17" s="192"/>
      <c r="I17" s="192"/>
      <c r="J17" s="192"/>
      <c r="K17" s="192"/>
      <c r="L17" s="192"/>
      <c r="M17" s="192"/>
      <c r="N17" s="192"/>
    </row>
    <row r="18" spans="1:14" ht="14.45" customHeight="1" x14ac:dyDescent="0.25">
      <c r="A18" s="192"/>
      <c r="B18" s="192"/>
      <c r="C18" s="192"/>
      <c r="D18" s="192"/>
      <c r="E18" s="192"/>
      <c r="F18" s="192"/>
      <c r="G18" s="192"/>
      <c r="H18" s="192"/>
      <c r="I18" s="192"/>
      <c r="J18" s="192"/>
      <c r="K18" s="192"/>
      <c r="L18" s="192"/>
      <c r="M18" s="192"/>
      <c r="N18" s="192"/>
    </row>
    <row r="19" spans="1:14" ht="14.45" customHeight="1" x14ac:dyDescent="0.25">
      <c r="A19" s="192"/>
      <c r="B19" s="192"/>
      <c r="C19" s="192"/>
      <c r="D19" s="192"/>
      <c r="E19" s="192"/>
      <c r="F19" s="192"/>
      <c r="G19" s="192"/>
      <c r="H19" s="192"/>
      <c r="I19" s="192"/>
      <c r="J19" s="192"/>
      <c r="K19" s="192"/>
      <c r="L19" s="192"/>
      <c r="M19" s="192"/>
      <c r="N19" s="192"/>
    </row>
    <row r="20" spans="1:14" ht="14.45" customHeight="1" x14ac:dyDescent="0.25">
      <c r="A20" s="192"/>
      <c r="B20" s="192"/>
      <c r="C20" s="192"/>
      <c r="D20" s="192"/>
      <c r="E20" s="192"/>
      <c r="F20" s="192"/>
      <c r="G20" s="192"/>
      <c r="H20" s="192"/>
      <c r="I20" s="192"/>
      <c r="J20" s="192"/>
      <c r="K20" s="192"/>
      <c r="L20" s="192"/>
      <c r="M20" s="192"/>
      <c r="N20" s="192"/>
    </row>
    <row r="21" spans="1:14" ht="14.45" customHeight="1" x14ac:dyDescent="0.25">
      <c r="A21" s="192"/>
      <c r="B21" s="192"/>
      <c r="C21" s="192"/>
      <c r="D21" s="192"/>
      <c r="E21" s="192"/>
      <c r="F21" s="192"/>
      <c r="G21" s="192"/>
      <c r="H21" s="192"/>
      <c r="I21" s="192"/>
      <c r="J21" s="192"/>
      <c r="K21" s="192"/>
      <c r="L21" s="192"/>
      <c r="M21" s="192"/>
      <c r="N21" s="192"/>
    </row>
    <row r="22" spans="1:14" ht="14.45" customHeight="1" x14ac:dyDescent="0.25">
      <c r="A22" s="192"/>
      <c r="B22" s="192"/>
      <c r="C22" s="192"/>
      <c r="D22" s="192"/>
      <c r="E22" s="192"/>
      <c r="F22" s="192"/>
      <c r="G22" s="192"/>
      <c r="H22" s="192"/>
      <c r="I22" s="192"/>
      <c r="J22" s="192"/>
      <c r="K22" s="192"/>
      <c r="L22" s="192"/>
      <c r="M22" s="192"/>
      <c r="N22" s="192"/>
    </row>
    <row r="23" spans="1:14" ht="14.45" customHeight="1" x14ac:dyDescent="0.25">
      <c r="A23" s="192"/>
      <c r="B23" s="192"/>
      <c r="C23" s="192"/>
      <c r="D23" s="192"/>
      <c r="E23" s="192"/>
      <c r="F23" s="192"/>
      <c r="G23" s="192"/>
      <c r="H23" s="192"/>
      <c r="I23" s="192"/>
      <c r="J23" s="192"/>
      <c r="K23" s="192"/>
      <c r="L23" s="192"/>
      <c r="M23" s="192"/>
      <c r="N23" s="192"/>
    </row>
  </sheetData>
  <sheetProtection password="FFED" sheet="1" objects="1" scenarios="1" formatCells="0" formatColumns="0" formatRows="0"/>
  <mergeCells count="23">
    <mergeCell ref="A20:N20"/>
    <mergeCell ref="A21:N21"/>
    <mergeCell ref="A22:N22"/>
    <mergeCell ref="A23:N23"/>
    <mergeCell ref="A14:N14"/>
    <mergeCell ref="A15:N15"/>
    <mergeCell ref="A16:N16"/>
    <mergeCell ref="A17:N17"/>
    <mergeCell ref="A18:N18"/>
    <mergeCell ref="A19:N19"/>
    <mergeCell ref="A13:N13"/>
    <mergeCell ref="A1:N1"/>
    <mergeCell ref="A2:N2"/>
    <mergeCell ref="A5:N5"/>
    <mergeCell ref="A6:N6"/>
    <mergeCell ref="A3:N3"/>
    <mergeCell ref="A7:N7"/>
    <mergeCell ref="A4:N4"/>
    <mergeCell ref="A8:N8"/>
    <mergeCell ref="A9:N9"/>
    <mergeCell ref="A10:N10"/>
    <mergeCell ref="A11:N11"/>
    <mergeCell ref="A12:N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4AF42-84F7-4CD4-8684-33CA254713E9}">
  <sheetPr>
    <pageSetUpPr fitToPage="1"/>
  </sheetPr>
  <dimension ref="A1:BP87"/>
  <sheetViews>
    <sheetView zoomScaleNormal="100" workbookViewId="0"/>
  </sheetViews>
  <sheetFormatPr defaultRowHeight="15" x14ac:dyDescent="0.25"/>
  <cols>
    <col min="1" max="1" width="9.7109375" style="66" customWidth="1"/>
    <col min="2" max="2" width="12.5703125" style="66" customWidth="1"/>
    <col min="3" max="3" width="1.7109375" style="66" customWidth="1"/>
    <col min="4" max="4" width="13.7109375" style="66" customWidth="1"/>
    <col min="5" max="5" width="11.28515625" style="66" customWidth="1"/>
    <col min="6" max="6" width="11.42578125" style="66" customWidth="1"/>
    <col min="7" max="7" width="12.28515625" style="66" customWidth="1"/>
    <col min="8" max="8" width="14.85546875" style="132" customWidth="1"/>
    <col min="9" max="9" width="13.7109375" style="132" customWidth="1"/>
    <col min="10" max="10" width="13.7109375" style="66" customWidth="1"/>
    <col min="11" max="12" width="12.7109375" style="66" customWidth="1"/>
    <col min="13" max="13" width="11.7109375" style="66" customWidth="1"/>
    <col min="14" max="14" width="10.5703125" style="75" customWidth="1"/>
    <col min="15" max="18" width="9.7109375" style="66" customWidth="1"/>
    <col min="19" max="19" width="12.7109375" style="66" customWidth="1"/>
    <col min="20" max="20" width="13.140625" style="66" customWidth="1"/>
    <col min="21" max="21" width="12.140625" style="66" customWidth="1"/>
    <col min="22" max="22" width="11.7109375" style="132" customWidth="1"/>
    <col min="23" max="23" width="12.85546875" style="132" customWidth="1"/>
    <col min="24" max="24" width="12.28515625" style="132" customWidth="1"/>
    <col min="25" max="25" width="15" style="132" customWidth="1"/>
    <col min="26" max="26" width="11.5703125" style="132" bestFit="1" customWidth="1"/>
    <col min="27" max="27" width="14" style="132" bestFit="1" customWidth="1"/>
    <col min="28" max="28" width="10" style="132" customWidth="1"/>
    <col min="29" max="29" width="11.7109375" style="132" customWidth="1"/>
    <col min="30" max="30" width="10.85546875" style="132" customWidth="1"/>
    <col min="31" max="31" width="12.7109375" style="132" customWidth="1"/>
    <col min="32" max="32" width="11.140625" style="132" customWidth="1"/>
    <col min="33" max="33" width="11.28515625" style="132" customWidth="1"/>
    <col min="34" max="34" width="13.85546875" style="132" bestFit="1" customWidth="1"/>
    <col min="35" max="35" width="13.42578125" style="132" customWidth="1"/>
    <col min="36" max="36" width="14.42578125" style="132" customWidth="1"/>
    <col min="37" max="37" width="13.140625" style="132" customWidth="1"/>
    <col min="38" max="43" width="9.140625" style="66" customWidth="1"/>
    <col min="44" max="51" width="9.140625" style="66"/>
    <col min="52" max="52" width="11.5703125" style="66" bestFit="1" customWidth="1"/>
    <col min="53" max="16384" width="9.140625" style="66"/>
  </cols>
  <sheetData>
    <row r="1" spans="1:68" ht="97.5" customHeight="1" thickTop="1" thickBot="1" x14ac:dyDescent="0.4">
      <c r="A1" s="63" t="s">
        <v>10</v>
      </c>
      <c r="B1" s="63" t="s">
        <v>44</v>
      </c>
      <c r="C1" s="128"/>
      <c r="D1" s="63" t="s">
        <v>12</v>
      </c>
      <c r="E1" s="63" t="s">
        <v>31</v>
      </c>
      <c r="F1" s="63" t="s">
        <v>13</v>
      </c>
      <c r="G1" s="63" t="s">
        <v>14</v>
      </c>
      <c r="H1" s="63" t="s">
        <v>15</v>
      </c>
      <c r="I1" s="63" t="s">
        <v>16</v>
      </c>
      <c r="J1" s="64" t="s">
        <v>9</v>
      </c>
      <c r="K1" s="64" t="s">
        <v>57</v>
      </c>
      <c r="L1" s="64" t="str">
        <f>CONCATENATE("Uncertainty due to u(CCE) of Restraint
(10 % @ 
"&amp;U3&amp;" °C)")</f>
        <v>Uncertainty due to u(CCE) of Restraint
(10 % @ 
2.17 °C)</v>
      </c>
      <c r="M1" s="65" t="s">
        <v>0</v>
      </c>
      <c r="N1" s="65" t="s">
        <v>58</v>
      </c>
      <c r="O1" s="65" t="s">
        <v>59</v>
      </c>
      <c r="P1" s="65" t="s">
        <v>60</v>
      </c>
      <c r="Q1" s="65" t="s">
        <v>61</v>
      </c>
      <c r="R1" s="76"/>
      <c r="S1" s="65" t="s">
        <v>1</v>
      </c>
      <c r="T1" s="65" t="s">
        <v>62</v>
      </c>
      <c r="U1" s="65" t="s">
        <v>5</v>
      </c>
      <c r="V1" s="65" t="s">
        <v>67</v>
      </c>
      <c r="W1"/>
      <c r="X1" s="64" t="s">
        <v>174</v>
      </c>
      <c r="AA1" s="66"/>
      <c r="AB1" s="207"/>
      <c r="AC1" s="207"/>
      <c r="AD1" s="207"/>
      <c r="AE1" s="207"/>
      <c r="AF1" s="207"/>
      <c r="AN1" s="208" t="s">
        <v>17</v>
      </c>
      <c r="AO1" s="209"/>
      <c r="AP1" s="209"/>
      <c r="AQ1" s="209"/>
      <c r="AR1" s="209"/>
      <c r="AS1" s="209"/>
      <c r="AT1" s="209"/>
      <c r="AU1" s="209"/>
      <c r="AV1" s="209"/>
      <c r="AW1" s="209"/>
      <c r="AX1" s="209"/>
      <c r="AY1" s="209"/>
      <c r="AZ1" s="209"/>
      <c r="BA1" s="209"/>
      <c r="BB1" s="209"/>
      <c r="BC1" s="209"/>
      <c r="BD1" s="209"/>
      <c r="BE1" s="209"/>
      <c r="BF1" s="209"/>
      <c r="BG1" s="209"/>
      <c r="BH1" s="209"/>
      <c r="BI1" s="209"/>
      <c r="BJ1" s="210"/>
      <c r="BK1" s="2"/>
      <c r="BL1" s="2"/>
      <c r="BM1" s="2"/>
      <c r="BN1" s="2"/>
      <c r="BO1" s="2"/>
      <c r="BP1" s="2"/>
    </row>
    <row r="2" spans="1:68" ht="16.5" thickTop="1" x14ac:dyDescent="0.25">
      <c r="A2" s="67" t="s">
        <v>55</v>
      </c>
      <c r="B2" s="67" t="s">
        <v>45</v>
      </c>
      <c r="C2" s="128"/>
      <c r="D2" s="68" t="s">
        <v>32</v>
      </c>
      <c r="E2" s="68" t="s">
        <v>7</v>
      </c>
      <c r="F2" s="67" t="s">
        <v>7</v>
      </c>
      <c r="G2" s="67" t="s">
        <v>7</v>
      </c>
      <c r="H2" s="68" t="s">
        <v>32</v>
      </c>
      <c r="I2" s="68" t="s">
        <v>32</v>
      </c>
      <c r="J2" s="68" t="s">
        <v>32</v>
      </c>
      <c r="K2" s="69" t="s">
        <v>54</v>
      </c>
      <c r="L2" s="69" t="s">
        <v>32</v>
      </c>
      <c r="M2" s="67" t="s">
        <v>64</v>
      </c>
      <c r="N2" s="67" t="s">
        <v>64</v>
      </c>
      <c r="O2" s="67" t="s">
        <v>6</v>
      </c>
      <c r="P2" s="67" t="s">
        <v>65</v>
      </c>
      <c r="Q2" s="67" t="s">
        <v>66</v>
      </c>
      <c r="R2" s="76"/>
      <c r="S2" s="67" t="s">
        <v>74</v>
      </c>
      <c r="T2" s="67" t="s">
        <v>74</v>
      </c>
      <c r="U2" s="68" t="s">
        <v>6</v>
      </c>
      <c r="V2" s="70" t="s">
        <v>68</v>
      </c>
      <c r="W2"/>
      <c r="X2" s="69" t="s">
        <v>32</v>
      </c>
      <c r="AA2" s="66"/>
      <c r="AB2" s="71"/>
      <c r="AN2" s="4"/>
      <c r="AO2" s="5"/>
      <c r="AP2" s="6"/>
      <c r="AQ2" s="211" t="s">
        <v>18</v>
      </c>
      <c r="AR2" s="212"/>
      <c r="AS2" s="212"/>
      <c r="AT2" s="212"/>
      <c r="AU2" s="212"/>
      <c r="AV2" s="212"/>
      <c r="AW2" s="212"/>
      <c r="AX2" s="212"/>
      <c r="AY2" s="213"/>
      <c r="AZ2" s="214"/>
      <c r="BA2" s="214"/>
      <c r="BB2" s="214"/>
      <c r="BC2" s="214"/>
      <c r="BD2" s="214"/>
      <c r="BE2" s="214"/>
      <c r="BF2" s="214"/>
      <c r="BG2" s="214"/>
      <c r="BH2" s="214"/>
      <c r="BI2" s="215"/>
      <c r="BJ2" s="7" t="s">
        <v>19</v>
      </c>
      <c r="BK2" s="194" t="s">
        <v>20</v>
      </c>
      <c r="BL2" s="195"/>
      <c r="BM2" s="195"/>
      <c r="BN2" s="195"/>
      <c r="BO2" s="195"/>
      <c r="BP2" s="8"/>
    </row>
    <row r="3" spans="1:68" ht="23.25" thickBot="1" x14ac:dyDescent="0.3">
      <c r="A3" s="119">
        <v>250</v>
      </c>
      <c r="B3" s="119">
        <v>2000</v>
      </c>
      <c r="C3" s="73"/>
      <c r="D3" s="72">
        <v>0.06</v>
      </c>
      <c r="E3" s="72">
        <v>0.99990000000000001</v>
      </c>
      <c r="F3" s="72">
        <v>1.00023</v>
      </c>
      <c r="G3" s="72">
        <v>0.99970999999999999</v>
      </c>
      <c r="H3" s="72">
        <v>0.46994999999999998</v>
      </c>
      <c r="I3" s="72">
        <v>-31.4419</v>
      </c>
      <c r="J3" s="74">
        <f>SQRT(SUMSQ(u_Cal_R,u_Sens_R,u_Max_d_t_R)+u²_R)</f>
        <v>6.5093050690944093E-2</v>
      </c>
      <c r="K3" s="74">
        <f>((((Vol_R*Eff_Rho_R)*((1-0.0012/8)/0.99985))*(8-Eff_Rho_R)/(8*Eff_Rho_R)*SQRT((0.00001*(RhoA_R*0.001)*u_BP_R/760*101325)^2+(0.000022*(RhoA_R*0.001))^2+(-0.004*(RhoA_R*0.001)*u_t_R)^2+(-0.009*u_RH_R/100*(RhoA_R*0.001))^2))^2+((((Vol_R*Eff_Rho_R)*((1-0.0012/8)/0.99985))*((RhoA_R*0.001)-0.0012)/Eff_Rho_R)^2*(u_Rho_R^2/Eff_Rho_R^2))+(((Vol_R*Eff_Rho_R)*((1-0.0012/8)/0.99985))^2*((RhoA_R*0.001)-0.0012))*(((RhoA_R*0.001)-0.0012)-2*((Cal_Rho_A_R*0.001)-0.0012))*(u_Rho_R^2/Eff_Rho_R^4))*1000000</f>
        <v>5.9738229678183851E-4</v>
      </c>
      <c r="L3" s="74">
        <f>ABS(RhoA_R*(Vol_R*Max_d_t_R*0.1*Eff_CCE_R))/SQRT(3)</f>
        <v>1.6601986283740411E-3</v>
      </c>
      <c r="M3" s="72">
        <v>7.9924499999999998</v>
      </c>
      <c r="N3" s="72">
        <v>2.5000000000000001E-2</v>
      </c>
      <c r="O3" s="72">
        <v>0.2</v>
      </c>
      <c r="P3" s="72">
        <v>1</v>
      </c>
      <c r="Q3" s="72">
        <v>0.11</v>
      </c>
      <c r="S3" s="72">
        <v>1.1778999999999999</v>
      </c>
      <c r="T3" s="72">
        <v>1.2</v>
      </c>
      <c r="U3" s="72">
        <v>2.17</v>
      </c>
      <c r="V3" s="72">
        <v>4.5000000000000003E-5</v>
      </c>
      <c r="W3"/>
      <c r="X3" s="74">
        <f>MAX(ABS(Max_Sens_R-Avg_Sens_R)/10^(ROUND(LOG(Avg_Sens_R),1)),ABS(Min_Sens_R-Avg_Sens_R)/10^(ROUND(LOG(Avg_Sens_R),1)))*((MaxAi_R-MinAi_R)/SQRT(3))</f>
        <v>6.0800240119857785E-3</v>
      </c>
      <c r="AA3" s="66"/>
      <c r="AB3" s="71"/>
      <c r="AN3" s="9" t="s">
        <v>3</v>
      </c>
      <c r="AO3" s="10" t="s">
        <v>21</v>
      </c>
      <c r="AP3" s="10" t="s">
        <v>22</v>
      </c>
      <c r="AQ3" s="11" t="s">
        <v>77</v>
      </c>
      <c r="AR3" s="11" t="s">
        <v>78</v>
      </c>
      <c r="AS3" s="11" t="s">
        <v>79</v>
      </c>
      <c r="AT3" s="11" t="s">
        <v>80</v>
      </c>
      <c r="AU3" s="11" t="s">
        <v>81</v>
      </c>
      <c r="AV3" s="11" t="s">
        <v>82</v>
      </c>
      <c r="AW3" s="11" t="s">
        <v>83</v>
      </c>
      <c r="AX3" s="11" t="s">
        <v>84</v>
      </c>
      <c r="AY3" s="11" t="s">
        <v>85</v>
      </c>
      <c r="AZ3" s="60" t="s">
        <v>86</v>
      </c>
      <c r="BA3" s="60" t="s">
        <v>87</v>
      </c>
      <c r="BB3" s="61" t="s">
        <v>88</v>
      </c>
      <c r="BC3" s="61" t="s">
        <v>89</v>
      </c>
      <c r="BD3" s="61" t="s">
        <v>90</v>
      </c>
      <c r="BE3" s="61" t="s">
        <v>91</v>
      </c>
      <c r="BF3" s="61" t="s">
        <v>92</v>
      </c>
      <c r="BG3" s="61" t="s">
        <v>93</v>
      </c>
      <c r="BH3" s="61" t="s">
        <v>94</v>
      </c>
      <c r="BI3" s="61" t="s">
        <v>95</v>
      </c>
      <c r="BJ3" s="62" t="s">
        <v>96</v>
      </c>
      <c r="BK3" s="12" t="s">
        <v>97</v>
      </c>
      <c r="BL3" s="13" t="s">
        <v>98</v>
      </c>
      <c r="BM3" s="13" t="s">
        <v>99</v>
      </c>
      <c r="BN3" s="13" t="s">
        <v>100</v>
      </c>
      <c r="BO3" s="13" t="s">
        <v>101</v>
      </c>
      <c r="BP3" s="14" t="s">
        <v>23</v>
      </c>
    </row>
    <row r="4" spans="1:68" ht="29.25" customHeight="1" thickTop="1" thickBot="1" x14ac:dyDescent="0.3">
      <c r="A4" s="199" t="s">
        <v>76</v>
      </c>
      <c r="B4" s="200"/>
      <c r="V4" s="66"/>
      <c r="W4"/>
      <c r="X4" s="66"/>
      <c r="Y4" s="66"/>
      <c r="Z4" s="66"/>
      <c r="AA4" s="66"/>
      <c r="AB4" s="66"/>
      <c r="AC4" s="66"/>
      <c r="AD4" s="66"/>
      <c r="AN4" s="16"/>
      <c r="AO4" s="17"/>
      <c r="AP4" s="18"/>
      <c r="AQ4" s="19">
        <v>1</v>
      </c>
      <c r="AR4" s="19">
        <v>2</v>
      </c>
      <c r="AS4" s="19">
        <v>3</v>
      </c>
      <c r="AT4" s="19">
        <v>4</v>
      </c>
      <c r="AU4" s="19">
        <v>5</v>
      </c>
      <c r="AV4" s="19">
        <v>6</v>
      </c>
      <c r="AW4" s="19">
        <v>7</v>
      </c>
      <c r="AX4" s="19">
        <v>8</v>
      </c>
      <c r="AY4" s="19">
        <v>9</v>
      </c>
      <c r="AZ4" s="19">
        <v>10</v>
      </c>
      <c r="BA4" s="19">
        <v>11</v>
      </c>
      <c r="BB4" s="19">
        <v>12</v>
      </c>
      <c r="BC4" s="19">
        <v>13</v>
      </c>
      <c r="BD4" s="19">
        <v>14</v>
      </c>
      <c r="BE4" s="19">
        <v>15</v>
      </c>
      <c r="BF4" s="19">
        <v>16</v>
      </c>
      <c r="BG4" s="19">
        <v>17</v>
      </c>
      <c r="BH4" s="19">
        <v>18</v>
      </c>
      <c r="BI4" s="19">
        <v>19</v>
      </c>
      <c r="BJ4" s="20">
        <v>20</v>
      </c>
      <c r="BK4" s="21">
        <v>21</v>
      </c>
      <c r="BL4" s="19">
        <v>22</v>
      </c>
      <c r="BM4" s="19">
        <v>23</v>
      </c>
      <c r="BN4" s="19">
        <v>24</v>
      </c>
      <c r="BO4" s="19">
        <v>25</v>
      </c>
      <c r="BP4" s="20">
        <v>26</v>
      </c>
    </row>
    <row r="5" spans="1:68" ht="27.75" thickTop="1" thickBot="1" x14ac:dyDescent="0.45">
      <c r="A5" s="196" t="s">
        <v>88</v>
      </c>
      <c r="B5" s="197"/>
      <c r="D5" s="77" t="s">
        <v>4</v>
      </c>
      <c r="G5" s="76"/>
      <c r="O5" s="77" t="s">
        <v>4</v>
      </c>
    </row>
    <row r="6" spans="1:68" ht="21.75" thickTop="1" x14ac:dyDescent="0.35">
      <c r="A6" s="198" t="s">
        <v>39</v>
      </c>
      <c r="B6" s="198"/>
      <c r="C6" s="78"/>
      <c r="D6" s="204" t="s">
        <v>160</v>
      </c>
      <c r="E6" s="205"/>
      <c r="F6" s="206"/>
      <c r="G6" s="162"/>
      <c r="H6" s="201" t="s">
        <v>161</v>
      </c>
      <c r="I6" s="202"/>
      <c r="J6" s="202"/>
      <c r="K6" s="202"/>
      <c r="L6" s="202"/>
      <c r="M6" s="202"/>
      <c r="N6" s="202"/>
      <c r="O6" s="202"/>
      <c r="P6" s="202"/>
      <c r="Q6" s="202"/>
      <c r="R6" s="202"/>
      <c r="S6" s="202"/>
      <c r="T6" s="202"/>
      <c r="U6" s="202"/>
      <c r="V6" s="202"/>
      <c r="W6" s="202"/>
      <c r="X6" s="202"/>
      <c r="Y6" s="202"/>
      <c r="Z6" s="202"/>
      <c r="AA6" s="203"/>
      <c r="AB6"/>
      <c r="AC6" s="216" t="s">
        <v>38</v>
      </c>
      <c r="AD6" s="216"/>
      <c r="AE6" s="216"/>
      <c r="AF6" s="216"/>
      <c r="AG6" s="216"/>
      <c r="AH6" s="216"/>
      <c r="AI6" s="139"/>
      <c r="AJ6" s="139"/>
      <c r="AK6" s="66"/>
    </row>
    <row r="7" spans="1:68" s="79" customFormat="1" ht="127.5" customHeight="1" thickBot="1" x14ac:dyDescent="0.4">
      <c r="A7" s="120" t="s">
        <v>63</v>
      </c>
      <c r="B7" s="120" t="str">
        <f>CONCATENATE("MPE
(mg) 
",A5," for this exercise")</f>
        <v>MPE
(mg) 
ASTM 0 for this exercise</v>
      </c>
      <c r="C7" s="121"/>
      <c r="D7" s="122" t="s">
        <v>111</v>
      </c>
      <c r="E7" s="122" t="s">
        <v>112</v>
      </c>
      <c r="F7" s="163" t="s">
        <v>159</v>
      </c>
      <c r="H7" s="120" t="s">
        <v>102</v>
      </c>
      <c r="I7" s="120" t="s">
        <v>33</v>
      </c>
      <c r="J7" s="120" t="s">
        <v>34</v>
      </c>
      <c r="K7" s="120" t="s">
        <v>35</v>
      </c>
      <c r="L7" s="120" t="s">
        <v>114</v>
      </c>
      <c r="M7" s="123" t="s">
        <v>103</v>
      </c>
      <c r="N7" s="123" t="s">
        <v>104</v>
      </c>
      <c r="O7" s="123" t="s">
        <v>105</v>
      </c>
      <c r="P7" s="123" t="s">
        <v>106</v>
      </c>
      <c r="Q7" s="123" t="s">
        <v>107</v>
      </c>
      <c r="R7" s="123" t="s">
        <v>108</v>
      </c>
      <c r="S7" s="123" t="s">
        <v>56</v>
      </c>
      <c r="T7" s="123" t="s">
        <v>113</v>
      </c>
      <c r="U7" s="123" t="s">
        <v>117</v>
      </c>
      <c r="V7" s="123" t="str">
        <f>CONCATENATE("Uncertainty due to u(CCE) of X
(10 % @ 
"&amp;IFERROR(ROUND(AVERAGE(U8:U52),2),"-")&amp;" °C)
(mg)")</f>
        <v>Uncertainty due to u(CCE) of X
(10 % @ 
1.55 °C)
(mg)</v>
      </c>
      <c r="W7" s="123" t="s">
        <v>109</v>
      </c>
      <c r="X7" s="124" t="s">
        <v>51</v>
      </c>
      <c r="Y7" s="123" t="s">
        <v>116</v>
      </c>
      <c r="Z7" s="124" t="s">
        <v>110</v>
      </c>
      <c r="AA7" s="182" t="s">
        <v>22</v>
      </c>
      <c r="AB7" s="125"/>
      <c r="AC7" s="123" t="s">
        <v>37</v>
      </c>
      <c r="AD7" s="126" t="s">
        <v>36</v>
      </c>
      <c r="AE7" s="126" t="s">
        <v>11</v>
      </c>
      <c r="AF7" s="127" t="s">
        <v>102</v>
      </c>
      <c r="AG7" s="127" t="s">
        <v>8</v>
      </c>
      <c r="AH7" s="127" t="str">
        <f>CONCATENATE("Uncertainty due to u(CCE)
(10 % @ "&amp;AJ3&amp;" °C)
(mg)")</f>
        <v>Uncertainty due to u(CCE)
(10 % @  °C)
(mg)</v>
      </c>
    </row>
    <row r="8" spans="1:68" ht="17.100000000000001" customHeight="1" thickTop="1" x14ac:dyDescent="0.25">
      <c r="A8" s="80">
        <v>20000</v>
      </c>
      <c r="B8" s="170">
        <f>VLOOKUP(Nom_X,'MPE Table'!$C$5:$AC$50,(HLOOKUP($A$5,'MPE Table'!$D$3:$AC$4,2,0)+1),0)</f>
        <v>25</v>
      </c>
      <c r="C8" s="82"/>
      <c r="D8" s="129">
        <f t="shared" ref="D8:D52" si="0">u_R/(Nom_R)*Nom_X</f>
        <v>0.65093050690944099</v>
      </c>
      <c r="E8" s="81"/>
      <c r="F8" s="84">
        <f t="shared" ref="F8:F52" si="1">SQRT(SUMSQ(Prop_Type_B_R,Type_A_of_series))</f>
        <v>0.65093050690944099</v>
      </c>
      <c r="H8" s="85">
        <f t="shared" ref="H8:H52" si="2">((((Nom_X)*(8-Assumed_Rho_X)/(8*Assumed_Rho_X)*SQRT((0.00001*(RhoA_X*0.001)*u_BP_X/760*101325)^2+(0.000022*(RhoA_X*0.001))^2+(-0.004*(RhoA_X*0.001)*u_t_X)^2+(-0.009*u_RH_X/100*(RhoA_X*0.001))^2))^2)+((Nom_X*((RhoA_X*0.001)-0.0012))^2*(u_Rho_X^2/Assumed_Rho_X^4))+(Nom_X*((1.2*0.001)-0.0012))-2*(0.0012-0.0012)*(u_Rho_R^2/8^4))*1000000</f>
        <v>1.6449425184472515</v>
      </c>
      <c r="I8" s="81">
        <v>1</v>
      </c>
      <c r="J8" s="81">
        <v>1</v>
      </c>
      <c r="K8" s="81">
        <v>1</v>
      </c>
      <c r="L8" s="85">
        <f>IF(B8="-","-",MAX(ABS(J8-I8)/10^(ROUND(LOG(I8),1)),ABS(K8-I8)/10^(ROUND(LOG(I8),1)))*B8/SQRT(3))</f>
        <v>0</v>
      </c>
      <c r="M8" s="81">
        <v>8</v>
      </c>
      <c r="N8" s="81">
        <v>7.0000000000000007E-2</v>
      </c>
      <c r="O8" s="81">
        <v>2</v>
      </c>
      <c r="P8" s="81">
        <v>1</v>
      </c>
      <c r="Q8" s="81">
        <v>0.11</v>
      </c>
      <c r="R8" s="81">
        <v>1.1413690000000001</v>
      </c>
      <c r="S8" s="86">
        <v>0</v>
      </c>
      <c r="T8" s="170">
        <f t="shared" ref="T8:T52" si="3">IF(AND(2.6&lt;Assumed_Rho_X,Assumed_Rho_X&lt;2.8),0.000069,IF(AND(8.3&lt;Assumed_Rho_X,Assumed_Rho_X&lt;8.6),0.000039,IF(AND(7.8&lt;Assumed_Rho_X,Assumed_Rho_X&lt;8.05),0.000045,IF(AND(16.5&lt;Assumed_Rho_X,Assumed_Rho_X&lt;16.8),0.00002,"-"))))</f>
        <v>4.5000000000000003E-5</v>
      </c>
      <c r="U8" s="81">
        <v>0</v>
      </c>
      <c r="V8" s="86">
        <f t="shared" ref="V8:V52" si="4">IFERROR(ABS(RhoA_X*(Nom_X/Assumed_Rho_X)*Max_d_t_X*0.1*CCE_X)/SQRT(3),"-")</f>
        <v>0</v>
      </c>
      <c r="W8" s="86" t="str">
        <f t="shared" ref="W8:W52" si="5">IF(OR(Type_A_of_series="",Type_A_of_series="-"),"-",IF(MPE_X="-","-",SQRT(SUMSQ(u_Series1_X,u_Sens_X,u_Max_d_t_X)+u²_ABC_X)))</f>
        <v>-</v>
      </c>
      <c r="X8" s="87">
        <v>2</v>
      </c>
      <c r="Y8" s="86" t="str">
        <f>IFERROR(IF(MPE_X="-","-",FIXED(k_X*uc_X,2-1-INT(LOG10(ABS(2*uc_X))))),"-")</f>
        <v>-</v>
      </c>
      <c r="Z8" s="130" t="str">
        <f t="shared" ref="Z8:Z52" si="6">IF(OR(MPE_X="-",Y8="-"),"-",3*Uk_X/MPE_X)</f>
        <v>-</v>
      </c>
      <c r="AA8" s="80">
        <f t="shared" ref="AA8:AA52" si="7">A8</f>
        <v>20000</v>
      </c>
      <c r="AC8" s="112" t="e">
        <f t="shared" ref="AC8:AC52" si="8">SUM(AD8:AH8)</f>
        <v>#VALUE!</v>
      </c>
      <c r="AD8" s="112" t="e">
        <f t="shared" ref="AD8:AD52" si="9">D8^2/$W8^2</f>
        <v>#VALUE!</v>
      </c>
      <c r="AE8" s="112" t="e">
        <f t="shared" ref="AE8:AE52" si="10">E8^2/$W8^2</f>
        <v>#VALUE!</v>
      </c>
      <c r="AF8" s="112" t="e">
        <f t="shared" ref="AF8:AF50" si="11">H8/$W8^2</f>
        <v>#VALUE!</v>
      </c>
      <c r="AG8" s="112" t="e">
        <f t="shared" ref="AG8:AG50" si="12">L8^2/$W8^2</f>
        <v>#VALUE!</v>
      </c>
      <c r="AH8" s="112" t="e">
        <f t="shared" ref="AH8:AH50" si="13">V8^2/$W8^2</f>
        <v>#VALUE!</v>
      </c>
      <c r="AI8" s="66"/>
      <c r="AJ8" s="66"/>
      <c r="AK8" s="66"/>
    </row>
    <row r="9" spans="1:68" ht="17.100000000000001" customHeight="1" x14ac:dyDescent="0.25">
      <c r="A9" s="88">
        <v>20000</v>
      </c>
      <c r="B9" s="169">
        <f>VLOOKUP(Nom_X,'MPE Table'!$C$5:$AC$50,(HLOOKUP($A$5,'MPE Table'!$D$3:$AC$4,2,0)+1),0)</f>
        <v>25</v>
      </c>
      <c r="C9" s="90"/>
      <c r="D9" s="91">
        <f t="shared" si="0"/>
        <v>0.65093050690944099</v>
      </c>
      <c r="E9" s="89"/>
      <c r="F9" s="92">
        <f t="shared" si="1"/>
        <v>0.65093050690944099</v>
      </c>
      <c r="H9" s="93">
        <f t="shared" si="2"/>
        <v>1.6449425184472515</v>
      </c>
      <c r="I9" s="89">
        <v>1</v>
      </c>
      <c r="J9" s="89">
        <v>1</v>
      </c>
      <c r="K9" s="89">
        <v>1</v>
      </c>
      <c r="L9" s="93">
        <f t="shared" ref="L9:L52" si="14">IF(B9="-","-",MAX(ABS(J9-I9)/10^(ROUND(LOG(I9),1)),ABS(K9-I9)/10^(ROUND(LOG(I9),1)))*B9/SQRT(3))</f>
        <v>0</v>
      </c>
      <c r="M9" s="89">
        <v>8</v>
      </c>
      <c r="N9" s="89">
        <v>7.0000000000000007E-2</v>
      </c>
      <c r="O9" s="89">
        <v>0.2</v>
      </c>
      <c r="P9" s="89">
        <v>1</v>
      </c>
      <c r="Q9" s="89">
        <v>0.11</v>
      </c>
      <c r="R9" s="89">
        <v>1.1413690000000001</v>
      </c>
      <c r="S9" s="94">
        <v>0</v>
      </c>
      <c r="T9" s="169">
        <f t="shared" si="3"/>
        <v>4.5000000000000003E-5</v>
      </c>
      <c r="U9" s="89">
        <v>0</v>
      </c>
      <c r="V9" s="94">
        <f t="shared" si="4"/>
        <v>0</v>
      </c>
      <c r="W9" s="94" t="str">
        <f t="shared" si="5"/>
        <v>-</v>
      </c>
      <c r="X9" s="95">
        <v>2</v>
      </c>
      <c r="Y9" s="94" t="str">
        <f t="shared" ref="Y9:Y52" si="15">IFERROR(IF(MPE_X="-","-",FIXED(k_X*uc_X,2-1-INT(LOG10(ABS(2*uc_X))))),"-")</f>
        <v>-</v>
      </c>
      <c r="Z9" s="130" t="str">
        <f t="shared" si="6"/>
        <v>-</v>
      </c>
      <c r="AA9" s="88">
        <f t="shared" si="7"/>
        <v>20000</v>
      </c>
      <c r="AC9" s="112" t="e">
        <f t="shared" si="8"/>
        <v>#VALUE!</v>
      </c>
      <c r="AD9" s="112" t="e">
        <f t="shared" si="9"/>
        <v>#VALUE!</v>
      </c>
      <c r="AE9" s="112" t="e">
        <f t="shared" si="10"/>
        <v>#VALUE!</v>
      </c>
      <c r="AF9" s="112" t="e">
        <f t="shared" si="11"/>
        <v>#VALUE!</v>
      </c>
      <c r="AG9" s="112" t="e">
        <f t="shared" si="12"/>
        <v>#VALUE!</v>
      </c>
      <c r="AH9" s="112" t="e">
        <f t="shared" si="13"/>
        <v>#VALUE!</v>
      </c>
      <c r="AI9" s="66"/>
      <c r="AJ9" s="66"/>
      <c r="AK9" s="66"/>
    </row>
    <row r="10" spans="1:68" s="104" customFormat="1" ht="17.100000000000001" customHeight="1" x14ac:dyDescent="0.25">
      <c r="A10" s="96">
        <v>10000</v>
      </c>
      <c r="B10" s="168">
        <f>VLOOKUP(Nom_X,'MPE Table'!$C$5:$AC$50,(HLOOKUP($A$5,'MPE Table'!$D$3:$AC$4,2,0)+1),0)</f>
        <v>13</v>
      </c>
      <c r="C10" s="98"/>
      <c r="D10" s="91">
        <f t="shared" si="0"/>
        <v>0.32546525345472049</v>
      </c>
      <c r="E10" s="97"/>
      <c r="F10" s="99">
        <f t="shared" si="1"/>
        <v>0.32546525345472049</v>
      </c>
      <c r="H10" s="100">
        <f t="shared" si="2"/>
        <v>0.41123562961181287</v>
      </c>
      <c r="I10" s="97">
        <v>1</v>
      </c>
      <c r="J10" s="97">
        <v>1</v>
      </c>
      <c r="K10" s="97">
        <v>1</v>
      </c>
      <c r="L10" s="100">
        <f t="shared" ref="L10" si="16">IF(B10="-","-",MAX(ABS(J10-I10)/10^(ROUND(LOG(I10),1)),ABS(K10-I10)/10^(ROUND(LOG(I10),1)))*B10/SQRT(3))</f>
        <v>0</v>
      </c>
      <c r="M10" s="97">
        <v>8</v>
      </c>
      <c r="N10" s="97">
        <v>7.0000000000000007E-2</v>
      </c>
      <c r="O10" s="97">
        <v>0.2</v>
      </c>
      <c r="P10" s="97">
        <v>1</v>
      </c>
      <c r="Q10" s="97">
        <v>0.11</v>
      </c>
      <c r="R10" s="97">
        <v>1.1413690000000001</v>
      </c>
      <c r="S10" s="101">
        <v>0</v>
      </c>
      <c r="T10" s="168">
        <f t="shared" si="3"/>
        <v>4.5000000000000003E-5</v>
      </c>
      <c r="U10" s="97">
        <v>0</v>
      </c>
      <c r="V10" s="101">
        <f t="shared" si="4"/>
        <v>0</v>
      </c>
      <c r="W10" s="101" t="str">
        <f t="shared" si="5"/>
        <v>-</v>
      </c>
      <c r="X10" s="102">
        <v>2</v>
      </c>
      <c r="Y10" s="101" t="str">
        <f t="shared" si="15"/>
        <v>-</v>
      </c>
      <c r="Z10" s="131" t="str">
        <f t="shared" ref="Z10" si="17">IF(OR(MPE_X="-",Y10="-"),"-",3*Uk_X/MPE_X)</f>
        <v>-</v>
      </c>
      <c r="AA10" s="96">
        <f t="shared" ref="AA10" si="18">A10</f>
        <v>10000</v>
      </c>
      <c r="AB10" s="103"/>
      <c r="AC10" s="113" t="e">
        <f t="shared" ref="AC10" si="19">SUM(AD10:AH10)</f>
        <v>#VALUE!</v>
      </c>
      <c r="AD10" s="113" t="e">
        <f t="shared" ref="AD10" si="20">D10^2/$W10^2</f>
        <v>#VALUE!</v>
      </c>
      <c r="AE10" s="113" t="e">
        <f t="shared" ref="AE10" si="21">E10^2/$W10^2</f>
        <v>#VALUE!</v>
      </c>
      <c r="AF10" s="113" t="e">
        <f t="shared" ref="AF10" si="22">H10/$W10^2</f>
        <v>#VALUE!</v>
      </c>
      <c r="AG10" s="113" t="e">
        <f t="shared" ref="AG10" si="23">L10^2/$W10^2</f>
        <v>#VALUE!</v>
      </c>
      <c r="AH10" s="113" t="e">
        <f t="shared" ref="AH10" si="24">V10^2/$W10^2</f>
        <v>#VALUE!</v>
      </c>
    </row>
    <row r="11" spans="1:68" ht="17.100000000000001" customHeight="1" x14ac:dyDescent="0.25">
      <c r="A11" s="183">
        <v>10000</v>
      </c>
      <c r="B11" s="184">
        <f>VLOOKUP(Nom_X,'MPE Table'!$C$5:$AC$50,(HLOOKUP($A$5,'MPE Table'!$D$3:$AC$4,2,0)+1),0)</f>
        <v>13</v>
      </c>
      <c r="C11" s="98"/>
      <c r="D11" s="185">
        <f t="shared" si="0"/>
        <v>0.32546525345472049</v>
      </c>
      <c r="E11" s="97"/>
      <c r="F11" s="185">
        <f t="shared" si="1"/>
        <v>0.32546525345472049</v>
      </c>
      <c r="G11" s="187"/>
      <c r="H11" s="184">
        <f t="shared" si="2"/>
        <v>0.41123562961181287</v>
      </c>
      <c r="I11" s="97">
        <v>1</v>
      </c>
      <c r="J11" s="97">
        <v>1</v>
      </c>
      <c r="K11" s="97">
        <v>1</v>
      </c>
      <c r="L11" s="184">
        <f t="shared" si="14"/>
        <v>0</v>
      </c>
      <c r="M11" s="97">
        <v>8</v>
      </c>
      <c r="N11" s="97">
        <v>7.0000000000000007E-2</v>
      </c>
      <c r="O11" s="97">
        <v>0.2</v>
      </c>
      <c r="P11" s="97">
        <v>1</v>
      </c>
      <c r="Q11" s="97">
        <v>0.11</v>
      </c>
      <c r="R11" s="97">
        <v>1.1413690000000001</v>
      </c>
      <c r="S11" s="184">
        <v>0</v>
      </c>
      <c r="T11" s="184">
        <f t="shared" si="3"/>
        <v>4.5000000000000003E-5</v>
      </c>
      <c r="U11" s="97">
        <v>0</v>
      </c>
      <c r="V11" s="184">
        <f t="shared" si="4"/>
        <v>0</v>
      </c>
      <c r="W11" s="184" t="str">
        <f t="shared" si="5"/>
        <v>-</v>
      </c>
      <c r="X11" s="102">
        <v>2</v>
      </c>
      <c r="Y11" s="184" t="str">
        <f t="shared" si="15"/>
        <v>-</v>
      </c>
      <c r="Z11" s="131" t="str">
        <f t="shared" si="6"/>
        <v>-</v>
      </c>
      <c r="AA11" s="186">
        <f t="shared" si="7"/>
        <v>10000</v>
      </c>
      <c r="AB11" s="140"/>
      <c r="AC11" s="112" t="e">
        <f t="shared" si="8"/>
        <v>#VALUE!</v>
      </c>
      <c r="AD11" s="112" t="e">
        <f t="shared" si="9"/>
        <v>#VALUE!</v>
      </c>
      <c r="AE11" s="112" t="e">
        <f t="shared" si="10"/>
        <v>#VALUE!</v>
      </c>
      <c r="AF11" s="112" t="e">
        <f t="shared" si="11"/>
        <v>#VALUE!</v>
      </c>
      <c r="AG11" s="112" t="e">
        <f t="shared" si="12"/>
        <v>#VALUE!</v>
      </c>
      <c r="AH11" s="112" t="e">
        <f t="shared" si="13"/>
        <v>#VALUE!</v>
      </c>
      <c r="AI11" s="66"/>
      <c r="AJ11" s="66"/>
      <c r="AK11" s="66"/>
    </row>
    <row r="12" spans="1:68" ht="17.100000000000001" customHeight="1" x14ac:dyDescent="0.25">
      <c r="A12" s="88">
        <v>5000</v>
      </c>
      <c r="B12" s="169">
        <f>VLOOKUP(Nom_X,'MPE Table'!$C$5:$AC$50,(HLOOKUP($A$5,'MPE Table'!$D$3:$AC$4,2,0)+1),0)</f>
        <v>6</v>
      </c>
      <c r="C12" s="90"/>
      <c r="D12" s="83">
        <f t="shared" si="0"/>
        <v>0.16273262672736025</v>
      </c>
      <c r="E12" s="89"/>
      <c r="F12" s="92">
        <f t="shared" si="1"/>
        <v>0.16273262672736025</v>
      </c>
      <c r="H12" s="93">
        <f t="shared" si="2"/>
        <v>0.10280890740295322</v>
      </c>
      <c r="I12" s="89">
        <v>1</v>
      </c>
      <c r="J12" s="89">
        <v>1</v>
      </c>
      <c r="K12" s="89">
        <v>1</v>
      </c>
      <c r="L12" s="93">
        <f t="shared" si="14"/>
        <v>0</v>
      </c>
      <c r="M12" s="89">
        <v>8</v>
      </c>
      <c r="N12" s="89">
        <v>7.0000000000000007E-2</v>
      </c>
      <c r="O12" s="89">
        <v>0.2</v>
      </c>
      <c r="P12" s="89">
        <v>1</v>
      </c>
      <c r="Q12" s="89">
        <v>0.11</v>
      </c>
      <c r="R12" s="89">
        <v>1.1413690000000001</v>
      </c>
      <c r="S12" s="94">
        <v>0</v>
      </c>
      <c r="T12" s="169">
        <f t="shared" si="3"/>
        <v>4.5000000000000003E-5</v>
      </c>
      <c r="U12" s="89">
        <v>0</v>
      </c>
      <c r="V12" s="94">
        <f t="shared" si="4"/>
        <v>0</v>
      </c>
      <c r="W12" s="94" t="str">
        <f t="shared" si="5"/>
        <v>-</v>
      </c>
      <c r="X12" s="95">
        <v>2</v>
      </c>
      <c r="Y12" s="94" t="str">
        <f t="shared" si="15"/>
        <v>-</v>
      </c>
      <c r="Z12" s="130" t="str">
        <f t="shared" si="6"/>
        <v>-</v>
      </c>
      <c r="AA12" s="88">
        <f t="shared" si="7"/>
        <v>5000</v>
      </c>
      <c r="AC12" s="112" t="e">
        <f t="shared" si="8"/>
        <v>#VALUE!</v>
      </c>
      <c r="AD12" s="112" t="e">
        <f t="shared" si="9"/>
        <v>#VALUE!</v>
      </c>
      <c r="AE12" s="112" t="e">
        <f t="shared" si="10"/>
        <v>#VALUE!</v>
      </c>
      <c r="AF12" s="112" t="e">
        <f t="shared" si="11"/>
        <v>#VALUE!</v>
      </c>
      <c r="AG12" s="112" t="e">
        <f t="shared" si="12"/>
        <v>#VALUE!</v>
      </c>
      <c r="AH12" s="112" t="e">
        <f t="shared" si="13"/>
        <v>#VALUE!</v>
      </c>
      <c r="AI12" s="66"/>
      <c r="AJ12" s="66"/>
      <c r="AK12" s="66"/>
    </row>
    <row r="13" spans="1:68" ht="17.100000000000001" customHeight="1" x14ac:dyDescent="0.25">
      <c r="A13" s="88">
        <v>2000</v>
      </c>
      <c r="B13" s="169">
        <f>VLOOKUP(Nom_X,'MPE Table'!$C$5:$AC$50,(HLOOKUP($A$5,'MPE Table'!$D$3:$AC$4,2,0)+1),0)</f>
        <v>2.5</v>
      </c>
      <c r="C13" s="90"/>
      <c r="D13" s="91">
        <f t="shared" si="0"/>
        <v>6.5093050690944093E-2</v>
      </c>
      <c r="E13" s="89"/>
      <c r="F13" s="92">
        <f t="shared" si="1"/>
        <v>6.5093050690944093E-2</v>
      </c>
      <c r="H13" s="93">
        <f t="shared" si="2"/>
        <v>1.6449425184472517E-2</v>
      </c>
      <c r="I13" s="89">
        <v>1</v>
      </c>
      <c r="J13" s="89">
        <v>1</v>
      </c>
      <c r="K13" s="89">
        <v>1</v>
      </c>
      <c r="L13" s="93">
        <f t="shared" si="14"/>
        <v>0</v>
      </c>
      <c r="M13" s="89">
        <v>8</v>
      </c>
      <c r="N13" s="89">
        <v>7.0000000000000007E-2</v>
      </c>
      <c r="O13" s="89">
        <v>0.2</v>
      </c>
      <c r="P13" s="89">
        <v>1</v>
      </c>
      <c r="Q13" s="89">
        <v>0.11</v>
      </c>
      <c r="R13" s="89">
        <f>R12</f>
        <v>1.1413690000000001</v>
      </c>
      <c r="S13" s="94">
        <v>0</v>
      </c>
      <c r="T13" s="169">
        <f t="shared" si="3"/>
        <v>4.5000000000000003E-5</v>
      </c>
      <c r="U13" s="89">
        <v>0</v>
      </c>
      <c r="V13" s="94">
        <f t="shared" si="4"/>
        <v>0</v>
      </c>
      <c r="W13" s="94" t="str">
        <f t="shared" si="5"/>
        <v>-</v>
      </c>
      <c r="X13" s="95">
        <v>2</v>
      </c>
      <c r="Y13" s="94" t="str">
        <f t="shared" si="15"/>
        <v>-</v>
      </c>
      <c r="Z13" s="130" t="str">
        <f t="shared" si="6"/>
        <v>-</v>
      </c>
      <c r="AA13" s="88">
        <f t="shared" si="7"/>
        <v>2000</v>
      </c>
      <c r="AC13" s="112" t="e">
        <f t="shared" si="8"/>
        <v>#VALUE!</v>
      </c>
      <c r="AD13" s="112" t="e">
        <f t="shared" si="9"/>
        <v>#VALUE!</v>
      </c>
      <c r="AE13" s="112" t="e">
        <f t="shared" si="10"/>
        <v>#VALUE!</v>
      </c>
      <c r="AF13" s="112" t="e">
        <f t="shared" si="11"/>
        <v>#VALUE!</v>
      </c>
      <c r="AG13" s="112" t="e">
        <f t="shared" si="12"/>
        <v>#VALUE!</v>
      </c>
      <c r="AH13" s="112" t="e">
        <f t="shared" si="13"/>
        <v>#VALUE!</v>
      </c>
      <c r="AI13" s="66"/>
      <c r="AJ13" s="66"/>
      <c r="AK13" s="66"/>
    </row>
    <row r="14" spans="1:68" ht="17.100000000000001" customHeight="1" x14ac:dyDescent="0.25">
      <c r="A14" s="88">
        <v>2000</v>
      </c>
      <c r="B14" s="169">
        <f>VLOOKUP(Nom_X,'MPE Table'!$C$5:$AC$50,(HLOOKUP($A$5,'MPE Table'!$D$3:$AC$4,2,0)+1),0)</f>
        <v>2.5</v>
      </c>
      <c r="C14" s="90"/>
      <c r="D14" s="91">
        <f t="shared" si="0"/>
        <v>6.5093050690944093E-2</v>
      </c>
      <c r="E14" s="89"/>
      <c r="F14" s="92">
        <f t="shared" si="1"/>
        <v>6.5093050690944093E-2</v>
      </c>
      <c r="H14" s="93">
        <f t="shared" si="2"/>
        <v>1.6449425184472517E-2</v>
      </c>
      <c r="I14" s="89">
        <v>1</v>
      </c>
      <c r="J14" s="89">
        <v>1</v>
      </c>
      <c r="K14" s="89">
        <v>1</v>
      </c>
      <c r="L14" s="93">
        <f t="shared" si="14"/>
        <v>0</v>
      </c>
      <c r="M14" s="89">
        <v>8</v>
      </c>
      <c r="N14" s="89">
        <v>7.0000000000000007E-2</v>
      </c>
      <c r="O14" s="89">
        <v>0.2</v>
      </c>
      <c r="P14" s="89">
        <v>1</v>
      </c>
      <c r="Q14" s="89">
        <v>0.11</v>
      </c>
      <c r="R14" s="89">
        <f>R12</f>
        <v>1.1413690000000001</v>
      </c>
      <c r="S14" s="94">
        <v>0</v>
      </c>
      <c r="T14" s="169">
        <f t="shared" si="3"/>
        <v>4.5000000000000003E-5</v>
      </c>
      <c r="U14" s="89">
        <v>0</v>
      </c>
      <c r="V14" s="94">
        <f t="shared" si="4"/>
        <v>0</v>
      </c>
      <c r="W14" s="94" t="str">
        <f t="shared" si="5"/>
        <v>-</v>
      </c>
      <c r="X14" s="95">
        <v>2</v>
      </c>
      <c r="Y14" s="94" t="str">
        <f t="shared" si="15"/>
        <v>-</v>
      </c>
      <c r="Z14" s="130" t="str">
        <f t="shared" si="6"/>
        <v>-</v>
      </c>
      <c r="AA14" s="88">
        <f t="shared" si="7"/>
        <v>2000</v>
      </c>
      <c r="AC14" s="112" t="e">
        <f t="shared" si="8"/>
        <v>#VALUE!</v>
      </c>
      <c r="AD14" s="112" t="e">
        <f t="shared" si="9"/>
        <v>#VALUE!</v>
      </c>
      <c r="AE14" s="112" t="e">
        <f t="shared" si="10"/>
        <v>#VALUE!</v>
      </c>
      <c r="AF14" s="112" t="e">
        <f t="shared" si="11"/>
        <v>#VALUE!</v>
      </c>
      <c r="AG14" s="112" t="e">
        <f t="shared" si="12"/>
        <v>#VALUE!</v>
      </c>
      <c r="AH14" s="112" t="e">
        <f t="shared" si="13"/>
        <v>#VALUE!</v>
      </c>
      <c r="AI14" s="66"/>
      <c r="AJ14" s="66"/>
      <c r="AK14" s="66"/>
    </row>
    <row r="15" spans="1:68" s="104" customFormat="1" ht="17.100000000000001" customHeight="1" x14ac:dyDescent="0.25">
      <c r="A15" s="105">
        <v>1000</v>
      </c>
      <c r="B15" s="168">
        <f>VLOOKUP(Nom_X,'MPE Table'!$C$5:$AC$50,(HLOOKUP($A$5,'MPE Table'!$D$3:$AC$4,2,0)+1),0)</f>
        <v>1.3</v>
      </c>
      <c r="C15" s="98"/>
      <c r="D15" s="106">
        <f t="shared" si="0"/>
        <v>3.2546525345472047E-2</v>
      </c>
      <c r="E15" s="97">
        <v>2.5350000000000001E-2</v>
      </c>
      <c r="F15" s="99">
        <f t="shared" si="1"/>
        <v>4.1254076308450474E-2</v>
      </c>
      <c r="H15" s="100">
        <f t="shared" si="2"/>
        <v>5.4030878482489982E-4</v>
      </c>
      <c r="I15" s="97">
        <v>0.99990000000000001</v>
      </c>
      <c r="J15" s="97">
        <v>1.00023</v>
      </c>
      <c r="K15" s="97">
        <v>0.99970999999999999</v>
      </c>
      <c r="L15" s="100">
        <f t="shared" ref="L15" si="25">IF(B15="-","-",MAX(ABS(J15-I15)/10^(ROUND(LOG(I15),1)),ABS(K15-I15)/10^(ROUND(LOG(I15),1)))*B15/SQRT(3))</f>
        <v>2.4768326548230553E-4</v>
      </c>
      <c r="M15" s="97">
        <v>7.9435000000000002</v>
      </c>
      <c r="N15" s="97">
        <v>2.5000000000000001E-2</v>
      </c>
      <c r="O15" s="97">
        <v>0.2</v>
      </c>
      <c r="P15" s="97">
        <v>1</v>
      </c>
      <c r="Q15" s="97">
        <v>0.11</v>
      </c>
      <c r="R15" s="97">
        <f>R11</f>
        <v>1.1413690000000001</v>
      </c>
      <c r="S15" s="101">
        <v>0</v>
      </c>
      <c r="T15" s="168">
        <f t="shared" si="3"/>
        <v>4.5000000000000003E-5</v>
      </c>
      <c r="U15" s="97">
        <v>2.17</v>
      </c>
      <c r="V15" s="101">
        <f t="shared" si="4"/>
        <v>8.1007605143692174E-4</v>
      </c>
      <c r="W15" s="133">
        <f t="shared" si="5"/>
        <v>4.7359530900310511E-2</v>
      </c>
      <c r="X15" s="102">
        <v>2</v>
      </c>
      <c r="Y15" s="101" t="str">
        <f t="shared" si="15"/>
        <v>0.095</v>
      </c>
      <c r="Z15" s="131">
        <f t="shared" ref="Z15" si="26">IF(OR(MPE_X="-",Y15="-"),"-",3*Uk_X/MPE_X)</f>
        <v>0.21923076923076926</v>
      </c>
      <c r="AA15" s="105">
        <f t="shared" ref="AA15" si="27">A15</f>
        <v>1000</v>
      </c>
      <c r="AB15" s="103"/>
      <c r="AC15" s="113">
        <f t="shared" ref="AC15" si="28">SUM(AD15:AH15)</f>
        <v>0.99999999999999978</v>
      </c>
      <c r="AD15" s="113">
        <f t="shared" ref="AD15" si="29">D15^2/$W15^2</f>
        <v>0.47227447781249293</v>
      </c>
      <c r="AE15" s="113">
        <f t="shared" ref="AE15" si="30">E15^2/$W15^2</f>
        <v>0.28651089631831439</v>
      </c>
      <c r="AF15" s="113">
        <f t="shared" ref="AF15" si="31">H15/$W15^2</f>
        <v>0.24089469981029496</v>
      </c>
      <c r="AG15" s="113">
        <f t="shared" ref="AG15" si="32">L15^2/$W15^2</f>
        <v>2.735133605878007E-5</v>
      </c>
      <c r="AH15" s="113">
        <f t="shared" ref="AH15" si="33">V15^2/$W15^2</f>
        <v>2.9257472283876604E-4</v>
      </c>
    </row>
    <row r="16" spans="1:68" ht="17.100000000000001" customHeight="1" x14ac:dyDescent="0.25">
      <c r="A16" s="183">
        <v>1000</v>
      </c>
      <c r="B16" s="184">
        <f>VLOOKUP(Nom_X,'MPE Table'!$C$5:$AC$50,(HLOOKUP($A$5,'MPE Table'!$D$3:$AC$4,2,0)+1),0)</f>
        <v>1.3</v>
      </c>
      <c r="C16" s="98"/>
      <c r="D16" s="185">
        <f t="shared" si="0"/>
        <v>3.2546525345472047E-2</v>
      </c>
      <c r="E16" s="97">
        <v>2.5350000000000001E-2</v>
      </c>
      <c r="F16" s="185">
        <f t="shared" si="1"/>
        <v>4.1254076308450474E-2</v>
      </c>
      <c r="H16" s="184">
        <f t="shared" si="2"/>
        <v>5.4030878482489982E-4</v>
      </c>
      <c r="I16" s="97">
        <v>0.99990000000000001</v>
      </c>
      <c r="J16" s="97">
        <v>1.00023</v>
      </c>
      <c r="K16" s="97">
        <v>0.99970999999999999</v>
      </c>
      <c r="L16" s="184">
        <f t="shared" si="14"/>
        <v>2.4768326548230553E-4</v>
      </c>
      <c r="M16" s="97">
        <v>7.9435000000000002</v>
      </c>
      <c r="N16" s="97">
        <v>2.5000000000000001E-2</v>
      </c>
      <c r="O16" s="97">
        <v>0.2</v>
      </c>
      <c r="P16" s="97">
        <v>1</v>
      </c>
      <c r="Q16" s="97">
        <v>0.11</v>
      </c>
      <c r="R16" s="97">
        <f>R12</f>
        <v>1.1413690000000001</v>
      </c>
      <c r="S16" s="184">
        <v>0</v>
      </c>
      <c r="T16" s="184">
        <f t="shared" si="3"/>
        <v>4.5000000000000003E-5</v>
      </c>
      <c r="U16" s="97">
        <v>2.17</v>
      </c>
      <c r="V16" s="184">
        <f t="shared" si="4"/>
        <v>8.1007605143692174E-4</v>
      </c>
      <c r="W16" s="184">
        <f t="shared" si="5"/>
        <v>4.7359530900310511E-2</v>
      </c>
      <c r="X16" s="102">
        <v>2</v>
      </c>
      <c r="Y16" s="184" t="str">
        <f t="shared" si="15"/>
        <v>0.095</v>
      </c>
      <c r="Z16" s="131">
        <f t="shared" si="6"/>
        <v>0.21923076923076926</v>
      </c>
      <c r="AA16" s="186">
        <f t="shared" si="7"/>
        <v>1000</v>
      </c>
      <c r="AB16" s="140"/>
      <c r="AC16" s="112">
        <f t="shared" si="8"/>
        <v>0.99999999999999978</v>
      </c>
      <c r="AD16" s="112">
        <f t="shared" si="9"/>
        <v>0.47227447781249293</v>
      </c>
      <c r="AE16" s="112">
        <f t="shared" si="10"/>
        <v>0.28651089631831439</v>
      </c>
      <c r="AF16" s="112">
        <f t="shared" si="11"/>
        <v>0.24089469981029496</v>
      </c>
      <c r="AG16" s="112">
        <f t="shared" si="12"/>
        <v>2.735133605878007E-5</v>
      </c>
      <c r="AH16" s="112">
        <f t="shared" si="13"/>
        <v>2.9257472283876604E-4</v>
      </c>
      <c r="AI16" s="66"/>
      <c r="AJ16" s="66"/>
      <c r="AK16" s="66"/>
    </row>
    <row r="17" spans="1:37" ht="17.100000000000001" customHeight="1" x14ac:dyDescent="0.25">
      <c r="A17" s="107">
        <v>500</v>
      </c>
      <c r="B17" s="169">
        <f>VLOOKUP(Nom_X,'MPE Table'!$C$5:$AC$50,(HLOOKUP($A$5,'MPE Table'!$D$3:$AC$4,2,0)+1),0)</f>
        <v>0.6</v>
      </c>
      <c r="C17" s="90"/>
      <c r="D17" s="91">
        <f t="shared" si="0"/>
        <v>1.6273262672736023E-2</v>
      </c>
      <c r="E17" s="89">
        <v>1.41E-2</v>
      </c>
      <c r="F17" s="92">
        <f t="shared" si="1"/>
        <v>2.1532047696767337E-2</v>
      </c>
      <c r="H17" s="93">
        <f t="shared" si="2"/>
        <v>2.4076024792302591E-5</v>
      </c>
      <c r="I17" s="89">
        <v>0.99891090909090929</v>
      </c>
      <c r="J17" s="89">
        <v>1.0015000000000001</v>
      </c>
      <c r="K17" s="89">
        <v>0.99453999999999998</v>
      </c>
      <c r="L17" s="93">
        <f t="shared" si="14"/>
        <v>1.5141273241439249E-3</v>
      </c>
      <c r="M17" s="89">
        <v>7.9820000000000002</v>
      </c>
      <c r="N17" s="89">
        <v>2.5000000000000001E-2</v>
      </c>
      <c r="O17" s="89">
        <v>0.2</v>
      </c>
      <c r="P17" s="89">
        <v>1</v>
      </c>
      <c r="Q17" s="89">
        <v>0.11</v>
      </c>
      <c r="R17" s="89">
        <v>1.175</v>
      </c>
      <c r="S17" s="94">
        <v>0</v>
      </c>
      <c r="T17" s="169">
        <f t="shared" si="3"/>
        <v>4.5000000000000003E-5</v>
      </c>
      <c r="U17" s="89">
        <v>2.23</v>
      </c>
      <c r="V17" s="94">
        <f t="shared" si="4"/>
        <v>4.264350534201031E-4</v>
      </c>
      <c r="W17" s="94">
        <f t="shared" si="5"/>
        <v>2.2139998446627559E-2</v>
      </c>
      <c r="X17" s="95">
        <v>2</v>
      </c>
      <c r="Y17" s="94" t="str">
        <f t="shared" si="15"/>
        <v>0.044</v>
      </c>
      <c r="Z17" s="130">
        <f t="shared" si="6"/>
        <v>0.22000000000000003</v>
      </c>
      <c r="AA17" s="107">
        <f t="shared" si="7"/>
        <v>500</v>
      </c>
      <c r="AC17" s="112">
        <f t="shared" si="8"/>
        <v>1.0000000000000002</v>
      </c>
      <c r="AD17" s="112">
        <f t="shared" si="9"/>
        <v>0.54024915597466561</v>
      </c>
      <c r="AE17" s="112">
        <f t="shared" si="10"/>
        <v>0.40558609109306398</v>
      </c>
      <c r="AF17" s="112">
        <f t="shared" si="11"/>
        <v>4.9116748576880968E-2</v>
      </c>
      <c r="AG17" s="112">
        <f t="shared" si="12"/>
        <v>4.6770242487050489E-3</v>
      </c>
      <c r="AH17" s="112">
        <f t="shared" si="13"/>
        <v>3.7098010668467854E-4</v>
      </c>
      <c r="AI17" s="66"/>
      <c r="AJ17" s="66"/>
      <c r="AK17" s="66"/>
    </row>
    <row r="18" spans="1:37" ht="17.100000000000001" customHeight="1" x14ac:dyDescent="0.25">
      <c r="A18" s="107">
        <v>200</v>
      </c>
      <c r="B18" s="169">
        <f>VLOOKUP(Nom_X,'MPE Table'!$C$5:$AC$50,(HLOOKUP($A$5,'MPE Table'!$D$3:$AC$4,2,0)+1),0)</f>
        <v>0.25</v>
      </c>
      <c r="C18" s="90"/>
      <c r="D18" s="91">
        <f t="shared" si="0"/>
        <v>6.5093050690944098E-3</v>
      </c>
      <c r="E18" s="89">
        <v>1.0970000000000001E-2</v>
      </c>
      <c r="F18" s="92">
        <f t="shared" si="1"/>
        <v>1.2755859535230786E-2</v>
      </c>
      <c r="H18" s="93">
        <f t="shared" si="2"/>
        <v>3.8732640687987312E-6</v>
      </c>
      <c r="I18" s="89">
        <v>0.99891090909090929</v>
      </c>
      <c r="J18" s="89">
        <v>1.0015000000000001</v>
      </c>
      <c r="K18" s="89">
        <v>0.99453999999999998</v>
      </c>
      <c r="L18" s="93">
        <f t="shared" si="14"/>
        <v>6.3088638505996871E-4</v>
      </c>
      <c r="M18" s="89">
        <v>7.9729999999999999</v>
      </c>
      <c r="N18" s="89">
        <v>2.5000000000000001E-2</v>
      </c>
      <c r="O18" s="89">
        <v>0.2</v>
      </c>
      <c r="P18" s="89">
        <v>1</v>
      </c>
      <c r="Q18" s="89">
        <v>0.11</v>
      </c>
      <c r="R18" s="89">
        <f>R17</f>
        <v>1.175</v>
      </c>
      <c r="S18" s="94">
        <v>0</v>
      </c>
      <c r="T18" s="169">
        <f t="shared" si="3"/>
        <v>4.5000000000000003E-5</v>
      </c>
      <c r="U18" s="89">
        <v>2.23</v>
      </c>
      <c r="V18" s="94">
        <f t="shared" si="4"/>
        <v>1.7076656698353262E-4</v>
      </c>
      <c r="W18" s="94">
        <f t="shared" si="5"/>
        <v>1.2923327566946148E-2</v>
      </c>
      <c r="X18" s="95">
        <v>2</v>
      </c>
      <c r="Y18" s="94" t="str">
        <f t="shared" si="15"/>
        <v>0.026</v>
      </c>
      <c r="Z18" s="130">
        <f t="shared" si="6"/>
        <v>0.312</v>
      </c>
      <c r="AA18" s="107">
        <f t="shared" si="7"/>
        <v>200</v>
      </c>
      <c r="AC18" s="112">
        <f t="shared" si="8"/>
        <v>1.0000000000000002</v>
      </c>
      <c r="AD18" s="112">
        <f t="shared" si="9"/>
        <v>0.2537000465169128</v>
      </c>
      <c r="AE18" s="112">
        <f t="shared" si="10"/>
        <v>0.72055070948424715</v>
      </c>
      <c r="AF18" s="112">
        <f t="shared" si="11"/>
        <v>2.3191476653347011E-2</v>
      </c>
      <c r="AG18" s="112">
        <f t="shared" si="12"/>
        <v>2.3831622191550347E-3</v>
      </c>
      <c r="AH18" s="112">
        <f t="shared" si="13"/>
        <v>1.7460512633835957E-4</v>
      </c>
      <c r="AI18" s="66"/>
      <c r="AJ18" s="66"/>
      <c r="AK18" s="66"/>
    </row>
    <row r="19" spans="1:37" ht="17.100000000000001" customHeight="1" x14ac:dyDescent="0.25">
      <c r="A19" s="107">
        <v>200</v>
      </c>
      <c r="B19" s="169">
        <f>VLOOKUP(Nom_X,'MPE Table'!$C$5:$AC$50,(HLOOKUP($A$5,'MPE Table'!$D$3:$AC$4,2,0)+1),0)</f>
        <v>0.25</v>
      </c>
      <c r="C19" s="90"/>
      <c r="D19" s="91">
        <f t="shared" si="0"/>
        <v>6.5093050690944098E-3</v>
      </c>
      <c r="E19" s="89">
        <v>8.6300000000000005E-3</v>
      </c>
      <c r="F19" s="92">
        <f t="shared" si="1"/>
        <v>1.0809623142484579E-2</v>
      </c>
      <c r="H19" s="93">
        <f t="shared" si="2"/>
        <v>3.843294381481611E-6</v>
      </c>
      <c r="I19" s="89">
        <v>0.99891090909090929</v>
      </c>
      <c r="J19" s="89">
        <v>1.0015000000000001</v>
      </c>
      <c r="K19" s="89">
        <v>0.99453999999999998</v>
      </c>
      <c r="L19" s="93">
        <f t="shared" si="14"/>
        <v>6.3088638505996871E-4</v>
      </c>
      <c r="M19" s="89">
        <v>7.9859999999999998</v>
      </c>
      <c r="N19" s="89">
        <v>2.5000000000000001E-2</v>
      </c>
      <c r="O19" s="89">
        <v>0.2</v>
      </c>
      <c r="P19" s="89">
        <v>1</v>
      </c>
      <c r="Q19" s="89">
        <v>0.11</v>
      </c>
      <c r="R19" s="89">
        <f>R17</f>
        <v>1.175</v>
      </c>
      <c r="S19" s="94">
        <v>0</v>
      </c>
      <c r="T19" s="169">
        <f t="shared" si="3"/>
        <v>4.5000000000000003E-5</v>
      </c>
      <c r="U19" s="89">
        <v>2.23</v>
      </c>
      <c r="V19" s="94">
        <f t="shared" si="4"/>
        <v>1.7048858484343922E-4</v>
      </c>
      <c r="W19" s="94">
        <f t="shared" si="5"/>
        <v>1.100537736074669E-2</v>
      </c>
      <c r="X19" s="95">
        <v>2</v>
      </c>
      <c r="Y19" s="94" t="str">
        <f t="shared" si="15"/>
        <v>0.022</v>
      </c>
      <c r="Z19" s="130">
        <f t="shared" si="6"/>
        <v>0.26400000000000001</v>
      </c>
      <c r="AA19" s="107">
        <f t="shared" si="7"/>
        <v>200</v>
      </c>
      <c r="AC19" s="112">
        <f t="shared" si="8"/>
        <v>0.99999999999999978</v>
      </c>
      <c r="AD19" s="112">
        <f t="shared" si="9"/>
        <v>0.34983187255247805</v>
      </c>
      <c r="AE19" s="112">
        <f t="shared" si="10"/>
        <v>0.61491022437172416</v>
      </c>
      <c r="AF19" s="112">
        <f t="shared" si="11"/>
        <v>3.173173172411102E-2</v>
      </c>
      <c r="AG19" s="112">
        <f t="shared" si="12"/>
        <v>3.2861882099329701E-3</v>
      </c>
      <c r="AH19" s="112">
        <f t="shared" si="13"/>
        <v>2.3998314175359219E-4</v>
      </c>
      <c r="AI19" s="66"/>
      <c r="AJ19" s="66"/>
      <c r="AK19" s="66"/>
    </row>
    <row r="20" spans="1:37" s="104" customFormat="1" ht="17.100000000000001" customHeight="1" x14ac:dyDescent="0.25">
      <c r="A20" s="108">
        <v>100</v>
      </c>
      <c r="B20" s="168">
        <f>VLOOKUP(Nom_X,'MPE Table'!$C$5:$AC$50,(HLOOKUP($A$5,'MPE Table'!$D$3:$AC$4,2,0)+1),0)</f>
        <v>0.13</v>
      </c>
      <c r="C20" s="98"/>
      <c r="D20" s="106">
        <f t="shared" si="0"/>
        <v>3.2546525345472049E-3</v>
      </c>
      <c r="E20" s="97">
        <v>9.7400000000000004E-3</v>
      </c>
      <c r="F20" s="99">
        <f t="shared" si="1"/>
        <v>1.0269389617724832E-2</v>
      </c>
      <c r="H20" s="100">
        <f t="shared" si="2"/>
        <v>5.3789954812091982E-6</v>
      </c>
      <c r="I20" s="97">
        <v>0.99891090909090929</v>
      </c>
      <c r="J20" s="97">
        <v>1.0015000000000001</v>
      </c>
      <c r="K20" s="97">
        <v>0.99453999999999998</v>
      </c>
      <c r="L20" s="100">
        <f t="shared" ref="L20" si="34">IF(B20="-","-",MAX(ABS(J20-I20)/10^(ROUND(LOG(I20),1)),ABS(K20-I20)/10^(ROUND(LOG(I20),1)))*B20/SQRT(3))</f>
        <v>3.2806092023118376E-4</v>
      </c>
      <c r="M20" s="97">
        <v>7.9516999999999998</v>
      </c>
      <c r="N20" s="97">
        <v>2.5000000000000001E-2</v>
      </c>
      <c r="O20" s="97">
        <v>0.2</v>
      </c>
      <c r="P20" s="97">
        <v>1</v>
      </c>
      <c r="Q20" s="97">
        <v>0.11</v>
      </c>
      <c r="R20" s="97">
        <f>R16</f>
        <v>1.1413690000000001</v>
      </c>
      <c r="S20" s="101">
        <v>0</v>
      </c>
      <c r="T20" s="168">
        <f t="shared" si="3"/>
        <v>4.5000000000000003E-5</v>
      </c>
      <c r="U20" s="97">
        <v>2.23</v>
      </c>
      <c r="V20" s="101">
        <f t="shared" si="4"/>
        <v>8.3161599826776111E-5</v>
      </c>
      <c r="W20" s="133">
        <f t="shared" si="5"/>
        <v>1.0533465641511936E-2</v>
      </c>
      <c r="X20" s="102">
        <v>2</v>
      </c>
      <c r="Y20" s="101" t="str">
        <f t="shared" si="15"/>
        <v>0.021</v>
      </c>
      <c r="Z20" s="131">
        <f t="shared" ref="Z20" si="35">IF(OR(MPE_X="-",Y20="-"),"-",3*Uk_X/MPE_X)</f>
        <v>0.48461538461538461</v>
      </c>
      <c r="AA20" s="108">
        <f t="shared" ref="AA20" si="36">A20</f>
        <v>100</v>
      </c>
      <c r="AB20" s="103"/>
      <c r="AC20" s="113">
        <f t="shared" ref="AC20" si="37">SUM(AD20:AH20)</f>
        <v>0.99999999999999978</v>
      </c>
      <c r="AD20" s="113">
        <f t="shared" ref="AD20" si="38">D20^2/$W20^2</f>
        <v>9.5469949874587123E-2</v>
      </c>
      <c r="AE20" s="113">
        <f t="shared" ref="AE20" si="39">E20^2/$W20^2</f>
        <v>0.85501817737049857</v>
      </c>
      <c r="AF20" s="113">
        <f t="shared" ref="AF20" si="40">H20/$W20^2</f>
        <v>4.8479553740451278E-2</v>
      </c>
      <c r="AG20" s="113">
        <f t="shared" ref="AG20" si="41">L20^2/$W20^2</f>
        <v>9.699881564742413E-4</v>
      </c>
      <c r="AH20" s="113">
        <f t="shared" ref="AH20" si="42">V20^2/$W20^2</f>
        <v>6.2330857988540561E-5</v>
      </c>
    </row>
    <row r="21" spans="1:37" ht="17.100000000000001" customHeight="1" x14ac:dyDescent="0.25">
      <c r="A21" s="183">
        <v>100</v>
      </c>
      <c r="B21" s="184">
        <f>VLOOKUP(Nom_X,'MPE Table'!$C$5:$AC$50,(HLOOKUP($A$5,'MPE Table'!$D$3:$AC$4,2,0)+1),0)</f>
        <v>0.13</v>
      </c>
      <c r="C21" s="98"/>
      <c r="D21" s="185">
        <f t="shared" si="0"/>
        <v>3.2546525345472049E-3</v>
      </c>
      <c r="E21" s="97">
        <v>9.7400000000000004E-3</v>
      </c>
      <c r="F21" s="185">
        <f t="shared" si="1"/>
        <v>1.0269389617724832E-2</v>
      </c>
      <c r="G21" s="187"/>
      <c r="H21" s="184">
        <f t="shared" si="2"/>
        <v>9.823908218133121E-7</v>
      </c>
      <c r="I21" s="97">
        <v>0.99891090909090929</v>
      </c>
      <c r="J21" s="97">
        <v>1.0015000000000001</v>
      </c>
      <c r="K21" s="97">
        <v>0.99453999999999998</v>
      </c>
      <c r="L21" s="184">
        <f t="shared" si="14"/>
        <v>3.2806092023118376E-4</v>
      </c>
      <c r="M21" s="97">
        <v>7.9516999999999998</v>
      </c>
      <c r="N21" s="97">
        <v>2.5000000000000001E-2</v>
      </c>
      <c r="O21" s="97">
        <v>0.2</v>
      </c>
      <c r="P21" s="97">
        <v>1</v>
      </c>
      <c r="Q21" s="97">
        <v>0.11</v>
      </c>
      <c r="R21" s="97">
        <f>R17</f>
        <v>1.175</v>
      </c>
      <c r="S21" s="184">
        <v>0</v>
      </c>
      <c r="T21" s="184">
        <f t="shared" si="3"/>
        <v>4.5000000000000003E-5</v>
      </c>
      <c r="U21" s="97">
        <v>2.23</v>
      </c>
      <c r="V21" s="184">
        <f t="shared" si="4"/>
        <v>8.5611997343945675E-5</v>
      </c>
      <c r="W21" s="184">
        <f t="shared" si="5"/>
        <v>1.0322679270611871E-2</v>
      </c>
      <c r="X21" s="102">
        <v>2</v>
      </c>
      <c r="Y21" s="184" t="str">
        <f t="shared" si="15"/>
        <v>0.021</v>
      </c>
      <c r="Z21" s="131">
        <f t="shared" si="6"/>
        <v>0.48461538461538461</v>
      </c>
      <c r="AA21" s="186">
        <f t="shared" si="7"/>
        <v>100</v>
      </c>
      <c r="AB21" s="140"/>
      <c r="AC21" s="112">
        <f t="shared" si="8"/>
        <v>0.99999999999999989</v>
      </c>
      <c r="AD21" s="112">
        <f t="shared" si="9"/>
        <v>9.94086996300894E-2</v>
      </c>
      <c r="AE21" s="112">
        <f t="shared" si="10"/>
        <v>0.89029317899658089</v>
      </c>
      <c r="AF21" s="112">
        <f t="shared" si="11"/>
        <v>9.2193314447634091E-3</v>
      </c>
      <c r="AG21" s="112">
        <f t="shared" si="12"/>
        <v>1.0100064095389159E-3</v>
      </c>
      <c r="AH21" s="112">
        <f t="shared" si="13"/>
        <v>6.8783519027294771E-5</v>
      </c>
      <c r="AI21" s="66"/>
      <c r="AJ21" s="66"/>
      <c r="AK21" s="66"/>
    </row>
    <row r="22" spans="1:37" ht="17.100000000000001" customHeight="1" x14ac:dyDescent="0.25">
      <c r="A22" s="107">
        <v>50</v>
      </c>
      <c r="B22" s="169">
        <f>VLOOKUP(Nom_X,'MPE Table'!$C$5:$AC$50,(HLOOKUP($A$5,'MPE Table'!$D$3:$AC$4,2,0)+1),0)</f>
        <v>0.06</v>
      </c>
      <c r="C22" s="90"/>
      <c r="D22" s="83">
        <f t="shared" si="0"/>
        <v>1.6273262672736025E-3</v>
      </c>
      <c r="E22" s="89">
        <v>5.0099999999999997E-3</v>
      </c>
      <c r="F22" s="92">
        <f t="shared" si="1"/>
        <v>5.2676646419602905E-3</v>
      </c>
      <c r="H22" s="93">
        <f t="shared" si="2"/>
        <v>2.7882027163410452E-7</v>
      </c>
      <c r="I22" s="89">
        <v>0.99999909090909067</v>
      </c>
      <c r="J22" s="89">
        <v>1.0002500000000001</v>
      </c>
      <c r="K22" s="89">
        <v>0.99980000000000002</v>
      </c>
      <c r="L22" s="93">
        <f t="shared" si="14"/>
        <v>8.691745870720415E-6</v>
      </c>
      <c r="M22" s="89">
        <v>7.9690000000000003</v>
      </c>
      <c r="N22" s="89">
        <v>2.5000000000000001E-2</v>
      </c>
      <c r="O22" s="89">
        <v>0.2</v>
      </c>
      <c r="P22" s="89">
        <v>1</v>
      </c>
      <c r="Q22" s="89">
        <v>0.11</v>
      </c>
      <c r="R22" s="89">
        <v>1.1732</v>
      </c>
      <c r="S22" s="94">
        <v>0</v>
      </c>
      <c r="T22" s="169">
        <f t="shared" si="3"/>
        <v>4.5000000000000003E-5</v>
      </c>
      <c r="U22" s="89">
        <v>2.2999999999999998</v>
      </c>
      <c r="V22" s="94">
        <f t="shared" si="4"/>
        <v>4.3986352902919651E-5</v>
      </c>
      <c r="W22" s="94">
        <f t="shared" si="5"/>
        <v>5.294253620434208E-3</v>
      </c>
      <c r="X22" s="95">
        <v>2</v>
      </c>
      <c r="Y22" s="94" t="str">
        <f t="shared" si="15"/>
        <v>0.011</v>
      </c>
      <c r="Z22" s="130">
        <f t="shared" si="6"/>
        <v>0.55000000000000004</v>
      </c>
      <c r="AA22" s="107">
        <f t="shared" si="7"/>
        <v>50</v>
      </c>
      <c r="AC22" s="112">
        <f t="shared" si="8"/>
        <v>1</v>
      </c>
      <c r="AD22" s="112">
        <f t="shared" si="9"/>
        <v>9.4479978255638711E-2</v>
      </c>
      <c r="AE22" s="112">
        <f t="shared" si="10"/>
        <v>0.89550077735422751</v>
      </c>
      <c r="AF22" s="112">
        <f t="shared" si="11"/>
        <v>9.9475209258312706E-3</v>
      </c>
      <c r="AG22" s="112">
        <f t="shared" si="12"/>
        <v>2.6952841371608446E-6</v>
      </c>
      <c r="AH22" s="112">
        <f t="shared" si="13"/>
        <v>6.9028180165293712E-5</v>
      </c>
      <c r="AI22" s="66"/>
      <c r="AJ22" s="66"/>
      <c r="AK22" s="66"/>
    </row>
    <row r="23" spans="1:37" ht="17.100000000000001" customHeight="1" x14ac:dyDescent="0.25">
      <c r="A23" s="107">
        <v>20</v>
      </c>
      <c r="B23" s="169">
        <f>VLOOKUP(Nom_X,'MPE Table'!$C$5:$AC$50,(HLOOKUP($A$5,'MPE Table'!$D$3:$AC$4,2,0)+1),0)</f>
        <v>3.6999999999999998E-2</v>
      </c>
      <c r="C23" s="90"/>
      <c r="D23" s="91">
        <f t="shared" si="0"/>
        <v>6.5093050690944094E-4</v>
      </c>
      <c r="E23" s="89">
        <v>3.15E-3</v>
      </c>
      <c r="F23" s="92">
        <f t="shared" si="1"/>
        <v>3.2165525838738253E-3</v>
      </c>
      <c r="H23" s="93">
        <f t="shared" si="2"/>
        <v>4.4528140545682856E-8</v>
      </c>
      <c r="I23" s="89">
        <v>0.99999909090909067</v>
      </c>
      <c r="J23" s="89">
        <v>1.0002500000000001</v>
      </c>
      <c r="K23" s="89">
        <v>0.99980000000000002</v>
      </c>
      <c r="L23" s="93">
        <f t="shared" si="14"/>
        <v>5.3599099536109226E-6</v>
      </c>
      <c r="M23" s="89">
        <v>7.9720000000000004</v>
      </c>
      <c r="N23" s="89">
        <v>2.5000000000000001E-2</v>
      </c>
      <c r="O23" s="89">
        <v>0.2</v>
      </c>
      <c r="P23" s="89">
        <v>1</v>
      </c>
      <c r="Q23" s="89">
        <v>0.11</v>
      </c>
      <c r="R23" s="89">
        <f>R22</f>
        <v>1.1732</v>
      </c>
      <c r="S23" s="94">
        <v>0</v>
      </c>
      <c r="T23" s="169">
        <f t="shared" si="3"/>
        <v>4.5000000000000003E-5</v>
      </c>
      <c r="U23" s="89">
        <v>2.2999999999999998</v>
      </c>
      <c r="V23" s="94">
        <f t="shared" si="4"/>
        <v>1.7587920034288344E-5</v>
      </c>
      <c r="W23" s="94">
        <f t="shared" si="5"/>
        <v>3.2235193079826444E-3</v>
      </c>
      <c r="X23" s="95">
        <v>2</v>
      </c>
      <c r="Y23" s="94" t="str">
        <f t="shared" si="15"/>
        <v>0.0064</v>
      </c>
      <c r="Z23" s="130">
        <f t="shared" si="6"/>
        <v>0.51891891891891895</v>
      </c>
      <c r="AA23" s="107">
        <f t="shared" si="7"/>
        <v>20</v>
      </c>
      <c r="AC23" s="112">
        <f t="shared" si="8"/>
        <v>1.0000000000000002</v>
      </c>
      <c r="AD23" s="112">
        <f t="shared" si="9"/>
        <v>4.0776383033092167E-2</v>
      </c>
      <c r="AE23" s="112">
        <f t="shared" si="10"/>
        <v>0.95490585420931196</v>
      </c>
      <c r="AF23" s="112">
        <f t="shared" si="11"/>
        <v>4.2852287310786181E-3</v>
      </c>
      <c r="AG23" s="112">
        <f t="shared" si="12"/>
        <v>2.7647408887679938E-6</v>
      </c>
      <c r="AH23" s="112">
        <f t="shared" si="13"/>
        <v>2.9769285628609617E-5</v>
      </c>
      <c r="AI23" s="66"/>
      <c r="AJ23" s="66"/>
      <c r="AK23" s="66"/>
    </row>
    <row r="24" spans="1:37" ht="17.100000000000001" customHeight="1" x14ac:dyDescent="0.25">
      <c r="A24" s="107">
        <v>20</v>
      </c>
      <c r="B24" s="169">
        <f>VLOOKUP(Nom_X,'MPE Table'!$C$5:$AC$50,(HLOOKUP($A$5,'MPE Table'!$D$3:$AC$4,2,0)+1),0)</f>
        <v>3.6999999999999998E-2</v>
      </c>
      <c r="C24" s="90"/>
      <c r="D24" s="91">
        <f t="shared" si="0"/>
        <v>6.5093050690944094E-4</v>
      </c>
      <c r="E24" s="89">
        <v>2.2799999999999999E-3</v>
      </c>
      <c r="F24" s="92">
        <f t="shared" si="1"/>
        <v>2.3710990120248839E-3</v>
      </c>
      <c r="H24" s="93">
        <f t="shared" si="2"/>
        <v>4.4315231822115158E-8</v>
      </c>
      <c r="I24" s="89">
        <v>0.99999909090909067</v>
      </c>
      <c r="J24" s="89">
        <v>1.0002500000000001</v>
      </c>
      <c r="K24" s="89">
        <v>0.99980000000000002</v>
      </c>
      <c r="L24" s="93">
        <f t="shared" si="14"/>
        <v>5.3599099536109226E-6</v>
      </c>
      <c r="M24" s="89">
        <v>7.98</v>
      </c>
      <c r="N24" s="89">
        <v>2.5000000000000001E-2</v>
      </c>
      <c r="O24" s="89">
        <v>0.2</v>
      </c>
      <c r="P24" s="89">
        <v>1</v>
      </c>
      <c r="Q24" s="89">
        <v>0.11</v>
      </c>
      <c r="R24" s="89">
        <f>R22</f>
        <v>1.1732</v>
      </c>
      <c r="S24" s="94">
        <v>0</v>
      </c>
      <c r="T24" s="169">
        <f t="shared" si="3"/>
        <v>4.5000000000000003E-5</v>
      </c>
      <c r="U24" s="89">
        <v>2.2999999999999998</v>
      </c>
      <c r="V24" s="94">
        <f t="shared" si="4"/>
        <v>1.7570288034253969E-5</v>
      </c>
      <c r="W24" s="94">
        <f t="shared" si="5"/>
        <v>2.3804964188806951E-3</v>
      </c>
      <c r="X24" s="95">
        <v>2</v>
      </c>
      <c r="Y24" s="94" t="str">
        <f t="shared" si="15"/>
        <v>0.0048</v>
      </c>
      <c r="Z24" s="130">
        <f t="shared" si="6"/>
        <v>0.38918918918918921</v>
      </c>
      <c r="AA24" s="107">
        <f t="shared" si="7"/>
        <v>20</v>
      </c>
      <c r="AC24" s="112">
        <f t="shared" si="8"/>
        <v>0.99999999999999989</v>
      </c>
      <c r="AD24" s="112">
        <f t="shared" si="9"/>
        <v>7.4771171804508305E-2</v>
      </c>
      <c r="AE24" s="112">
        <f t="shared" si="10"/>
        <v>0.91734907852180869</v>
      </c>
      <c r="AF24" s="112">
        <f t="shared" si="11"/>
        <v>7.8202018075749606E-3</v>
      </c>
      <c r="AG24" s="112">
        <f t="shared" si="12"/>
        <v>5.069672702977461E-6</v>
      </c>
      <c r="AH24" s="112">
        <f t="shared" si="13"/>
        <v>5.4478193405028283E-5</v>
      </c>
      <c r="AI24" s="66"/>
      <c r="AJ24" s="66"/>
      <c r="AK24" s="66"/>
    </row>
    <row r="25" spans="1:37" s="104" customFormat="1" ht="17.100000000000001" customHeight="1" x14ac:dyDescent="0.25">
      <c r="A25" s="108">
        <v>10</v>
      </c>
      <c r="B25" s="168">
        <f>VLOOKUP(Nom_X,'MPE Table'!$C$5:$AC$50,(HLOOKUP($A$5,'MPE Table'!$D$3:$AC$4,2,0)+1),0)</f>
        <v>2.5000000000000001E-2</v>
      </c>
      <c r="C25" s="98"/>
      <c r="D25" s="106">
        <f t="shared" si="0"/>
        <v>3.2546525345472047E-4</v>
      </c>
      <c r="E25" s="97">
        <v>1.75E-3</v>
      </c>
      <c r="F25" s="99">
        <f t="shared" si="1"/>
        <v>1.7800077615578943E-3</v>
      </c>
      <c r="H25" s="100">
        <f t="shared" si="2"/>
        <v>9.6892665132659526E-9</v>
      </c>
      <c r="I25" s="97">
        <v>0.99999909090909067</v>
      </c>
      <c r="J25" s="97">
        <v>1.0002500000000001</v>
      </c>
      <c r="K25" s="97">
        <v>0.99980000000000002</v>
      </c>
      <c r="L25" s="100">
        <f t="shared" ref="L25" si="43">IF(B25="-","-",MAX(ABS(J25-I25)/10^(ROUND(LOG(I25),1)),ABS(K25-I25)/10^(ROUND(LOG(I25),1)))*B25/SQRT(3))</f>
        <v>3.62156077946684E-6</v>
      </c>
      <c r="M25" s="97">
        <v>7.9720000000000004</v>
      </c>
      <c r="N25" s="97">
        <v>2.5000000000000001E-2</v>
      </c>
      <c r="O25" s="97">
        <v>0.2</v>
      </c>
      <c r="P25" s="97">
        <v>1</v>
      </c>
      <c r="Q25" s="97">
        <v>0.11</v>
      </c>
      <c r="R25" s="97">
        <f>R21</f>
        <v>1.175</v>
      </c>
      <c r="S25" s="101">
        <v>0</v>
      </c>
      <c r="T25" s="168">
        <f t="shared" si="3"/>
        <v>4.5000000000000003E-5</v>
      </c>
      <c r="U25" s="97">
        <v>2.2999999999999998</v>
      </c>
      <c r="V25" s="101">
        <f t="shared" si="4"/>
        <v>8.8074522844735779E-6</v>
      </c>
      <c r="W25" s="133">
        <f t="shared" si="5"/>
        <v>1.7827528108624129E-3</v>
      </c>
      <c r="X25" s="102">
        <v>2</v>
      </c>
      <c r="Y25" s="101" t="str">
        <f t="shared" si="15"/>
        <v>0.0036</v>
      </c>
      <c r="Z25" s="131">
        <f t="shared" ref="Z25" si="44">IF(OR(MPE_X="-",Y25="-"),"-",3*Uk_X/MPE_X)</f>
        <v>0.432</v>
      </c>
      <c r="AA25" s="108">
        <f t="shared" ref="AA25" si="45">A25</f>
        <v>10</v>
      </c>
      <c r="AB25" s="103"/>
      <c r="AC25" s="113">
        <f t="shared" ref="AC25" si="46">SUM(AD25:AH25)</f>
        <v>1.0000000000000002</v>
      </c>
      <c r="AD25" s="113">
        <f t="shared" ref="AD25" si="47">D25^2/$W25^2</f>
        <v>3.3329362033605557E-2</v>
      </c>
      <c r="AE25" s="113">
        <f t="shared" ref="AE25" si="48">E25^2/$W25^2</f>
        <v>0.9635934464453747</v>
      </c>
      <c r="AF25" s="113">
        <f t="shared" ref="AF25" si="49">H25/$W25^2</f>
        <v>3.048657538953697E-3</v>
      </c>
      <c r="AG25" s="113">
        <f t="shared" ref="AG25" si="50">L25^2/$W25^2</f>
        <v>4.1267608015185828E-6</v>
      </c>
      <c r="AH25" s="113">
        <f t="shared" ref="AH25" si="51">V25^2/$W25^2</f>
        <v>2.4407221264660821E-5</v>
      </c>
    </row>
    <row r="26" spans="1:37" ht="17.100000000000001" customHeight="1" x14ac:dyDescent="0.25">
      <c r="A26" s="183">
        <v>10</v>
      </c>
      <c r="B26" s="184">
        <f>VLOOKUP(Nom_X,'MPE Table'!$C$5:$AC$50,(HLOOKUP($A$5,'MPE Table'!$D$3:$AC$4,2,0)+1),0)</f>
        <v>2.5000000000000001E-2</v>
      </c>
      <c r="C26" s="98"/>
      <c r="D26" s="185">
        <f t="shared" si="0"/>
        <v>3.2546525345472047E-4</v>
      </c>
      <c r="E26" s="97">
        <v>1.75E-3</v>
      </c>
      <c r="F26" s="185">
        <f t="shared" si="1"/>
        <v>1.7800077615578943E-3</v>
      </c>
      <c r="G26" s="187"/>
      <c r="H26" s="184">
        <f t="shared" si="2"/>
        <v>1.1132035136420714E-8</v>
      </c>
      <c r="I26" s="97">
        <v>0.99999909090909067</v>
      </c>
      <c r="J26" s="97">
        <v>1.0002500000000001</v>
      </c>
      <c r="K26" s="97">
        <v>0.99980000000000002</v>
      </c>
      <c r="L26" s="184">
        <f t="shared" si="14"/>
        <v>3.62156077946684E-6</v>
      </c>
      <c r="M26" s="97">
        <v>7.9720000000000004</v>
      </c>
      <c r="N26" s="97">
        <v>2.5000000000000001E-2</v>
      </c>
      <c r="O26" s="97">
        <v>0.2</v>
      </c>
      <c r="P26" s="97">
        <v>1</v>
      </c>
      <c r="Q26" s="97">
        <v>0.11</v>
      </c>
      <c r="R26" s="97">
        <f>R22</f>
        <v>1.1732</v>
      </c>
      <c r="S26" s="184">
        <v>0</v>
      </c>
      <c r="T26" s="184">
        <f t="shared" si="3"/>
        <v>4.5000000000000003E-5</v>
      </c>
      <c r="U26" s="97">
        <v>2.2999999999999998</v>
      </c>
      <c r="V26" s="184">
        <f t="shared" si="4"/>
        <v>8.7939600171441719E-6</v>
      </c>
      <c r="W26" s="184">
        <f t="shared" si="5"/>
        <v>1.7831573446496606E-3</v>
      </c>
      <c r="X26" s="102">
        <v>2</v>
      </c>
      <c r="Y26" s="184" t="str">
        <f t="shared" si="15"/>
        <v>0.0036</v>
      </c>
      <c r="Z26" s="131">
        <f t="shared" si="6"/>
        <v>0.432</v>
      </c>
      <c r="AA26" s="186">
        <f t="shared" si="7"/>
        <v>10</v>
      </c>
      <c r="AB26" s="140"/>
      <c r="AC26" s="112">
        <f t="shared" si="8"/>
        <v>1</v>
      </c>
      <c r="AD26" s="112">
        <f t="shared" si="9"/>
        <v>3.3314241299919251E-2</v>
      </c>
      <c r="AE26" s="112">
        <f t="shared" si="10"/>
        <v>0.96315628716609181</v>
      </c>
      <c r="AF26" s="112">
        <f t="shared" si="11"/>
        <v>3.5010251855012091E-3</v>
      </c>
      <c r="AG26" s="112">
        <f t="shared" si="12"/>
        <v>4.1248885889330574E-6</v>
      </c>
      <c r="AH26" s="112">
        <f t="shared" si="13"/>
        <v>2.4321459898806361E-5</v>
      </c>
      <c r="AI26" s="66"/>
      <c r="AJ26" s="66"/>
      <c r="AK26" s="66"/>
    </row>
    <row r="27" spans="1:37" ht="17.100000000000001" customHeight="1" x14ac:dyDescent="0.25">
      <c r="A27" s="107">
        <v>5</v>
      </c>
      <c r="B27" s="169">
        <f>VLOOKUP(Nom_X,'MPE Table'!$C$5:$AC$50,(HLOOKUP($A$5,'MPE Table'!$D$3:$AC$4,2,0)+1),0)</f>
        <v>1.7000000000000001E-2</v>
      </c>
      <c r="C27" s="90"/>
      <c r="D27" s="83">
        <f t="shared" si="0"/>
        <v>1.6273262672736023E-4</v>
      </c>
      <c r="E27" s="89">
        <v>1.01E-3</v>
      </c>
      <c r="F27" s="92">
        <f t="shared" si="1"/>
        <v>1.0230258588137381E-3</v>
      </c>
      <c r="H27" s="93">
        <f t="shared" si="2"/>
        <v>2.6616502025883903E-9</v>
      </c>
      <c r="I27" s="89">
        <v>1.0002727272727272</v>
      </c>
      <c r="J27" s="89">
        <v>1.00068</v>
      </c>
      <c r="K27" s="89">
        <v>0.99987999999999999</v>
      </c>
      <c r="L27" s="93">
        <f t="shared" si="14"/>
        <v>3.9973633183173648E-6</v>
      </c>
      <c r="M27" s="89">
        <v>7.9710000000000001</v>
      </c>
      <c r="N27" s="89">
        <v>2.5000000000000001E-2</v>
      </c>
      <c r="O27" s="89">
        <v>0.2</v>
      </c>
      <c r="P27" s="89">
        <v>1</v>
      </c>
      <c r="Q27" s="89">
        <v>0.11</v>
      </c>
      <c r="R27" s="89">
        <v>1.1738</v>
      </c>
      <c r="S27" s="94">
        <v>0</v>
      </c>
      <c r="T27" s="169">
        <f t="shared" si="3"/>
        <v>4.5000000000000003E-5</v>
      </c>
      <c r="U27" s="89">
        <v>2.2000000000000002</v>
      </c>
      <c r="V27" s="94">
        <f t="shared" si="4"/>
        <v>4.2084858142957907E-6</v>
      </c>
      <c r="W27" s="94">
        <f t="shared" si="5"/>
        <v>1.0243423491540916E-3</v>
      </c>
      <c r="X27" s="95">
        <v>2</v>
      </c>
      <c r="Y27" s="94" t="str">
        <f t="shared" si="15"/>
        <v>0.0020</v>
      </c>
      <c r="Z27" s="130">
        <f t="shared" si="6"/>
        <v>0.3529411764705882</v>
      </c>
      <c r="AA27" s="107">
        <f t="shared" si="7"/>
        <v>5</v>
      </c>
      <c r="AC27" s="112">
        <f t="shared" si="8"/>
        <v>0.99999999999999978</v>
      </c>
      <c r="AD27" s="112">
        <f t="shared" si="9"/>
        <v>2.5238236934266238E-2</v>
      </c>
      <c r="AE27" s="112">
        <f t="shared" si="10"/>
        <v>0.97219300397619945</v>
      </c>
      <c r="AF27" s="112">
        <f t="shared" si="11"/>
        <v>2.5366510204766855E-3</v>
      </c>
      <c r="AG27" s="112">
        <f t="shared" si="12"/>
        <v>1.5228495161756865E-5</v>
      </c>
      <c r="AH27" s="112">
        <f t="shared" si="13"/>
        <v>1.6879573895575968E-5</v>
      </c>
      <c r="AI27" s="66"/>
      <c r="AJ27" s="66"/>
      <c r="AK27" s="66"/>
    </row>
    <row r="28" spans="1:37" ht="17.100000000000001" customHeight="1" x14ac:dyDescent="0.25">
      <c r="A28" s="107">
        <v>2</v>
      </c>
      <c r="B28" s="169">
        <f>VLOOKUP(Nom_X,'MPE Table'!$C$5:$AC$50,(HLOOKUP($A$5,'MPE Table'!$D$3:$AC$4,2,0)+1),0)</f>
        <v>1.7000000000000001E-2</v>
      </c>
      <c r="C28" s="90"/>
      <c r="D28" s="91">
        <f t="shared" si="0"/>
        <v>6.5093050690944099E-5</v>
      </c>
      <c r="E28" s="89">
        <v>7.2999999999999996E-4</v>
      </c>
      <c r="F28" s="92">
        <f t="shared" si="1"/>
        <v>7.3289638097636539E-4</v>
      </c>
      <c r="H28" s="93">
        <f t="shared" si="2"/>
        <v>4.8375805322971832E-10</v>
      </c>
      <c r="I28" s="89">
        <v>1.0002727272727272</v>
      </c>
      <c r="J28" s="89">
        <v>1.00068</v>
      </c>
      <c r="K28" s="89">
        <v>0.99987999999999999</v>
      </c>
      <c r="L28" s="93">
        <f t="shared" si="14"/>
        <v>3.9973633183173648E-6</v>
      </c>
      <c r="M28" s="89">
        <v>7.83</v>
      </c>
      <c r="N28" s="89">
        <v>2.5000000000000001E-2</v>
      </c>
      <c r="O28" s="89">
        <v>0.2</v>
      </c>
      <c r="P28" s="89">
        <v>1</v>
      </c>
      <c r="Q28" s="89">
        <v>0.11</v>
      </c>
      <c r="R28" s="89">
        <f>R27</f>
        <v>1.1738</v>
      </c>
      <c r="S28" s="94">
        <v>0</v>
      </c>
      <c r="T28" s="169">
        <f t="shared" si="3"/>
        <v>4.5000000000000003E-5</v>
      </c>
      <c r="U28" s="89">
        <v>2.2000000000000002</v>
      </c>
      <c r="V28" s="94">
        <f t="shared" si="4"/>
        <v>1.7137083231546233E-6</v>
      </c>
      <c r="W28" s="94">
        <f t="shared" si="5"/>
        <v>7.3323923722834071E-4</v>
      </c>
      <c r="X28" s="95">
        <v>2</v>
      </c>
      <c r="Y28" s="94" t="str">
        <f t="shared" si="15"/>
        <v>0.0015</v>
      </c>
      <c r="Z28" s="130">
        <f t="shared" si="6"/>
        <v>0.26470588235294118</v>
      </c>
      <c r="AA28" s="107">
        <f t="shared" si="7"/>
        <v>2</v>
      </c>
      <c r="AC28" s="112">
        <f t="shared" si="8"/>
        <v>1.0000000000000002</v>
      </c>
      <c r="AD28" s="112">
        <f t="shared" si="9"/>
        <v>7.8809370393807133E-3</v>
      </c>
      <c r="AE28" s="112">
        <f t="shared" si="10"/>
        <v>0.9911840991008587</v>
      </c>
      <c r="AF28" s="112">
        <f t="shared" si="11"/>
        <v>8.9978099113020014E-4</v>
      </c>
      <c r="AG28" s="112">
        <f t="shared" si="12"/>
        <v>2.9720482230717492E-5</v>
      </c>
      <c r="AH28" s="112">
        <f t="shared" si="13"/>
        <v>5.4623863997761565E-6</v>
      </c>
      <c r="AI28" s="66"/>
      <c r="AJ28" s="66"/>
      <c r="AK28" s="66"/>
    </row>
    <row r="29" spans="1:37" ht="17.100000000000001" customHeight="1" x14ac:dyDescent="0.25">
      <c r="A29" s="107">
        <v>2</v>
      </c>
      <c r="B29" s="169">
        <f>VLOOKUP(Nom_X,'MPE Table'!$C$5:$AC$50,(HLOOKUP($A$5,'MPE Table'!$D$3:$AC$4,2,0)+1),0)</f>
        <v>1.7000000000000001E-2</v>
      </c>
      <c r="C29" s="90"/>
      <c r="D29" s="91">
        <f t="shared" si="0"/>
        <v>6.5093050690944099E-5</v>
      </c>
      <c r="E29" s="89">
        <v>6.2E-4</v>
      </c>
      <c r="F29" s="92">
        <f t="shared" si="1"/>
        <v>6.2340765575043581E-4</v>
      </c>
      <c r="H29" s="93">
        <f t="shared" si="2"/>
        <v>4.2209272784122859E-10</v>
      </c>
      <c r="I29" s="89">
        <v>1.0002727272727272</v>
      </c>
      <c r="J29" s="89">
        <v>1.00068</v>
      </c>
      <c r="K29" s="89">
        <v>0.99987999999999999</v>
      </c>
      <c r="L29" s="93">
        <f t="shared" si="14"/>
        <v>3.9973633183173648E-6</v>
      </c>
      <c r="M29" s="89">
        <v>7.9859999999999998</v>
      </c>
      <c r="N29" s="89">
        <v>2.5000000000000001E-2</v>
      </c>
      <c r="O29" s="89">
        <v>0.2</v>
      </c>
      <c r="P29" s="89">
        <v>1</v>
      </c>
      <c r="Q29" s="89">
        <v>0.11</v>
      </c>
      <c r="R29" s="89">
        <f>R27</f>
        <v>1.1738</v>
      </c>
      <c r="S29" s="94">
        <v>0</v>
      </c>
      <c r="T29" s="169">
        <f t="shared" si="3"/>
        <v>4.5000000000000003E-5</v>
      </c>
      <c r="U29" s="89">
        <v>2.2000000000000002</v>
      </c>
      <c r="V29" s="94">
        <f t="shared" si="4"/>
        <v>1.6802324280366515E-6</v>
      </c>
      <c r="W29" s="94">
        <f t="shared" si="5"/>
        <v>6.2376117230123092E-4</v>
      </c>
      <c r="X29" s="95">
        <v>2</v>
      </c>
      <c r="Y29" s="94" t="str">
        <f t="shared" si="15"/>
        <v>0.0012</v>
      </c>
      <c r="Z29" s="130">
        <f t="shared" si="6"/>
        <v>0.21176470588235291</v>
      </c>
      <c r="AA29" s="107">
        <f t="shared" si="7"/>
        <v>2</v>
      </c>
      <c r="AC29" s="112">
        <f t="shared" si="8"/>
        <v>0.99999999999999989</v>
      </c>
      <c r="AD29" s="112">
        <f t="shared" si="9"/>
        <v>1.0890117784826981E-2</v>
      </c>
      <c r="AE29" s="112">
        <f t="shared" si="10"/>
        <v>0.98797670372070123</v>
      </c>
      <c r="AF29" s="112">
        <f t="shared" si="11"/>
        <v>1.0848537510849533E-3</v>
      </c>
      <c r="AG29" s="112">
        <f t="shared" si="12"/>
        <v>4.1068663598891549E-5</v>
      </c>
      <c r="AH29" s="112">
        <f t="shared" si="13"/>
        <v>7.2560797878924503E-6</v>
      </c>
      <c r="AI29" s="66"/>
      <c r="AJ29" s="66"/>
      <c r="AK29" s="66"/>
    </row>
    <row r="30" spans="1:37" s="104" customFormat="1" ht="17.100000000000001" customHeight="1" x14ac:dyDescent="0.25">
      <c r="A30" s="108">
        <v>1</v>
      </c>
      <c r="B30" s="168">
        <f>VLOOKUP(Nom_X,'MPE Table'!$C$5:$AC$50,(HLOOKUP($A$5,'MPE Table'!$D$3:$AC$4,2,0)+1),0)</f>
        <v>1.7000000000000001E-2</v>
      </c>
      <c r="C30" s="98"/>
      <c r="D30" s="106">
        <f t="shared" si="0"/>
        <v>3.254652534547205E-5</v>
      </c>
      <c r="E30" s="97">
        <v>6.4999999999999997E-4</v>
      </c>
      <c r="F30" s="99">
        <f t="shared" si="1"/>
        <v>6.5081431784500823E-4</v>
      </c>
      <c r="H30" s="100">
        <f t="shared" si="2"/>
        <v>1.1053376158646473E-10</v>
      </c>
      <c r="I30" s="97">
        <v>1.0002727272727272</v>
      </c>
      <c r="J30" s="97">
        <v>1.00068</v>
      </c>
      <c r="K30" s="97">
        <v>0.99987999999999999</v>
      </c>
      <c r="L30" s="100">
        <f t="shared" ref="L30" si="52">IF(B30="-","-",MAX(ABS(J30-I30)/10^(ROUND(LOG(I30),1)),ABS(K30-I30)/10^(ROUND(LOG(I30),1)))*B30/SQRT(3))</f>
        <v>3.9973633183173648E-6</v>
      </c>
      <c r="M30" s="97">
        <v>7.984</v>
      </c>
      <c r="N30" s="97">
        <v>2.5000000000000001E-2</v>
      </c>
      <c r="O30" s="97">
        <v>0.2</v>
      </c>
      <c r="P30" s="97">
        <v>1</v>
      </c>
      <c r="Q30" s="97">
        <v>0.11</v>
      </c>
      <c r="R30" s="97">
        <f>R26</f>
        <v>1.1732</v>
      </c>
      <c r="S30" s="101">
        <v>0</v>
      </c>
      <c r="T30" s="168">
        <f t="shared" si="3"/>
        <v>4.5000000000000003E-5</v>
      </c>
      <c r="U30" s="97">
        <v>2.2000000000000002</v>
      </c>
      <c r="V30" s="101">
        <f t="shared" si="4"/>
        <v>8.3989712231354771E-7</v>
      </c>
      <c r="W30" s="133">
        <f t="shared" si="5"/>
        <v>6.5091204814039555E-4</v>
      </c>
      <c r="X30" s="102">
        <v>2</v>
      </c>
      <c r="Y30" s="101" t="str">
        <f t="shared" si="15"/>
        <v>0.0013</v>
      </c>
      <c r="Z30" s="131">
        <f t="shared" ref="Z30" si="53">IF(OR(MPE_X="-",Y30="-"),"-",3*Uk_X/MPE_X)</f>
        <v>0.22941176470588232</v>
      </c>
      <c r="AA30" s="108">
        <f t="shared" ref="AA30" si="54">A30</f>
        <v>1</v>
      </c>
      <c r="AB30" s="103"/>
      <c r="AC30" s="113">
        <f t="shared" ref="AC30" si="55">SUM(AD30:AH30)</f>
        <v>0.99999999999999989</v>
      </c>
      <c r="AD30" s="113">
        <f t="shared" ref="AD30" si="56">D30^2/$W30^2</f>
        <v>2.5001417935866144E-3</v>
      </c>
      <c r="AE30" s="113">
        <f t="shared" ref="AE30" si="57">E30^2/$W30^2</f>
        <v>0.99719959349668497</v>
      </c>
      <c r="AF30" s="113">
        <f t="shared" ref="AF30" si="58">H30/$W30^2</f>
        <v>2.6088573283238373E-4</v>
      </c>
      <c r="AG30" s="113">
        <f t="shared" ref="AG30" si="59">L30^2/$W30^2</f>
        <v>3.7714002474205314E-5</v>
      </c>
      <c r="AH30" s="113">
        <f t="shared" ref="AH30" si="60">V30^2/$W30^2</f>
        <v>1.664974421820344E-6</v>
      </c>
    </row>
    <row r="31" spans="1:37" ht="17.100000000000001" customHeight="1" x14ac:dyDescent="0.25">
      <c r="A31" s="183">
        <v>1</v>
      </c>
      <c r="B31" s="184">
        <f>VLOOKUP(Nom_X,'MPE Table'!$C$5:$AC$50,(HLOOKUP($A$5,'MPE Table'!$D$3:$AC$4,2,0)+1),0)</f>
        <v>1.7000000000000001E-2</v>
      </c>
      <c r="C31" s="98"/>
      <c r="D31" s="185">
        <f t="shared" si="0"/>
        <v>3.254652534547205E-5</v>
      </c>
      <c r="E31" s="97">
        <v>6.4999999999999997E-4</v>
      </c>
      <c r="F31" s="185">
        <f t="shared" si="1"/>
        <v>6.5081431784500823E-4</v>
      </c>
      <c r="G31" s="187"/>
      <c r="H31" s="184">
        <f t="shared" si="2"/>
        <v>1.0564251264737542E-10</v>
      </c>
      <c r="I31" s="97">
        <v>1.0002727272727272</v>
      </c>
      <c r="J31" s="97">
        <v>1.00068</v>
      </c>
      <c r="K31" s="97">
        <v>0.99987999999999999</v>
      </c>
      <c r="L31" s="184">
        <f t="shared" si="14"/>
        <v>3.9973633183173648E-6</v>
      </c>
      <c r="M31" s="97">
        <v>7.984</v>
      </c>
      <c r="N31" s="97">
        <v>2.5000000000000001E-2</v>
      </c>
      <c r="O31" s="97">
        <v>0.2</v>
      </c>
      <c r="P31" s="97">
        <v>1</v>
      </c>
      <c r="Q31" s="97">
        <v>0.11</v>
      </c>
      <c r="R31" s="97">
        <f>R27</f>
        <v>1.1738</v>
      </c>
      <c r="S31" s="184">
        <v>0</v>
      </c>
      <c r="T31" s="184">
        <f t="shared" si="3"/>
        <v>4.5000000000000003E-5</v>
      </c>
      <c r="U31" s="97">
        <v>2.2000000000000002</v>
      </c>
      <c r="V31" s="184">
        <f t="shared" si="4"/>
        <v>8.4032666397173724E-7</v>
      </c>
      <c r="W31" s="184">
        <f t="shared" si="5"/>
        <v>6.5090829145672395E-4</v>
      </c>
      <c r="X31" s="102">
        <v>2</v>
      </c>
      <c r="Y31" s="184" t="str">
        <f t="shared" si="15"/>
        <v>0.0013</v>
      </c>
      <c r="Z31" s="131">
        <f t="shared" si="6"/>
        <v>0.22941176470588232</v>
      </c>
      <c r="AA31" s="186">
        <f t="shared" si="7"/>
        <v>1</v>
      </c>
      <c r="AB31" s="140"/>
      <c r="AC31" s="112">
        <f t="shared" si="8"/>
        <v>1.0000000000000004</v>
      </c>
      <c r="AD31" s="112">
        <f t="shared" si="9"/>
        <v>2.5001706525490191E-3</v>
      </c>
      <c r="AE31" s="112">
        <f t="shared" si="10"/>
        <v>0.99721110410206459</v>
      </c>
      <c r="AF31" s="112">
        <f t="shared" si="11"/>
        <v>2.4934411047859305E-4</v>
      </c>
      <c r="AG31" s="112">
        <f t="shared" si="12"/>
        <v>3.7714437804306329E-5</v>
      </c>
      <c r="AH31" s="112">
        <f t="shared" si="13"/>
        <v>1.6666971039177333E-6</v>
      </c>
      <c r="AI31" s="66"/>
      <c r="AJ31" s="66"/>
      <c r="AK31" s="66"/>
    </row>
    <row r="32" spans="1:37" ht="17.100000000000001" customHeight="1" x14ac:dyDescent="0.25">
      <c r="A32" s="107">
        <v>0.5</v>
      </c>
      <c r="B32" s="169">
        <f>VLOOKUP(Nom_X,'MPE Table'!$C$5:$AC$50,(HLOOKUP($A$5,'MPE Table'!$D$3:$AC$4,2,0)+1),0)</f>
        <v>5.0000000000000001E-3</v>
      </c>
      <c r="C32" s="90"/>
      <c r="D32" s="83">
        <f t="shared" si="0"/>
        <v>1.6273262672736025E-5</v>
      </c>
      <c r="E32" s="89">
        <v>3.6999999999999999E-4</v>
      </c>
      <c r="F32" s="92">
        <f t="shared" si="1"/>
        <v>3.703576907234624E-4</v>
      </c>
      <c r="H32" s="93">
        <f t="shared" si="2"/>
        <v>2.493900599137716E-11</v>
      </c>
      <c r="I32" s="89">
        <v>0.99999090909090893</v>
      </c>
      <c r="J32" s="89">
        <v>1.0001199999999999</v>
      </c>
      <c r="K32" s="89">
        <v>0.99973000000000001</v>
      </c>
      <c r="L32" s="93">
        <f t="shared" si="14"/>
        <v>7.5317966935143597E-7</v>
      </c>
      <c r="M32" s="89">
        <v>8.0050000000000008</v>
      </c>
      <c r="N32" s="89">
        <v>2.5000000000000001E-2</v>
      </c>
      <c r="O32" s="89">
        <v>0.2</v>
      </c>
      <c r="P32" s="89">
        <v>1</v>
      </c>
      <c r="Q32" s="89">
        <v>0.11</v>
      </c>
      <c r="R32" s="89">
        <v>1.1744000000000001</v>
      </c>
      <c r="S32" s="94">
        <v>0</v>
      </c>
      <c r="T32" s="169">
        <f t="shared" si="3"/>
        <v>4.5000000000000003E-5</v>
      </c>
      <c r="U32" s="89">
        <v>2.08</v>
      </c>
      <c r="V32" s="94">
        <f t="shared" si="4"/>
        <v>3.9640573775363754E-7</v>
      </c>
      <c r="W32" s="94">
        <f t="shared" si="5"/>
        <v>3.7039233591035659E-4</v>
      </c>
      <c r="X32" s="95">
        <v>2</v>
      </c>
      <c r="Y32" s="94" t="str">
        <f t="shared" si="15"/>
        <v>0.00074</v>
      </c>
      <c r="Z32" s="130">
        <f t="shared" si="6"/>
        <v>0.44399999999999995</v>
      </c>
      <c r="AA32" s="107">
        <f t="shared" si="7"/>
        <v>0.5</v>
      </c>
      <c r="AC32" s="112">
        <f t="shared" si="8"/>
        <v>1.0000000000000004</v>
      </c>
      <c r="AD32" s="112">
        <f t="shared" si="9"/>
        <v>1.9303021112538298E-3</v>
      </c>
      <c r="AE32" s="112">
        <f t="shared" si="10"/>
        <v>0.9978826337233121</v>
      </c>
      <c r="AF32" s="112">
        <f t="shared" si="11"/>
        <v>1.8178379095045219E-4</v>
      </c>
      <c r="AG32" s="112">
        <f t="shared" si="12"/>
        <v>4.1349779079584777E-6</v>
      </c>
      <c r="AH32" s="112">
        <f t="shared" si="13"/>
        <v>1.1453965760541071E-6</v>
      </c>
      <c r="AI32" s="66"/>
      <c r="AJ32" s="66"/>
      <c r="AK32" s="66"/>
    </row>
    <row r="33" spans="1:37" ht="17.100000000000001" customHeight="1" x14ac:dyDescent="0.25">
      <c r="A33" s="107">
        <v>0.2</v>
      </c>
      <c r="B33" s="169">
        <f>VLOOKUP(Nom_X,'MPE Table'!$C$5:$AC$50,(HLOOKUP($A$5,'MPE Table'!$D$3:$AC$4,2,0)+1),0)</f>
        <v>5.0000000000000001E-3</v>
      </c>
      <c r="C33" s="90"/>
      <c r="D33" s="91">
        <f t="shared" si="0"/>
        <v>6.5093050690944104E-6</v>
      </c>
      <c r="E33" s="89">
        <v>2.7999999999999998E-4</v>
      </c>
      <c r="F33" s="92">
        <f t="shared" si="1"/>
        <v>2.8007565237357304E-4</v>
      </c>
      <c r="H33" s="93">
        <f t="shared" si="2"/>
        <v>3.9960385822920074E-12</v>
      </c>
      <c r="I33" s="89">
        <v>0.99999090909090893</v>
      </c>
      <c r="J33" s="89">
        <v>1.0001199999999999</v>
      </c>
      <c r="K33" s="89">
        <v>0.99973000000000001</v>
      </c>
      <c r="L33" s="93">
        <f t="shared" si="14"/>
        <v>7.5317966935143597E-7</v>
      </c>
      <c r="M33" s="89">
        <v>8.0020000000000007</v>
      </c>
      <c r="N33" s="89">
        <v>2.5000000000000001E-2</v>
      </c>
      <c r="O33" s="89">
        <v>0.2</v>
      </c>
      <c r="P33" s="89">
        <v>1</v>
      </c>
      <c r="Q33" s="89">
        <v>0.11</v>
      </c>
      <c r="R33" s="89">
        <f>R32</f>
        <v>1.1744000000000001</v>
      </c>
      <c r="S33" s="94">
        <v>0</v>
      </c>
      <c r="T33" s="169">
        <f t="shared" si="3"/>
        <v>4.5000000000000003E-5</v>
      </c>
      <c r="U33" s="89">
        <v>2.08</v>
      </c>
      <c r="V33" s="94">
        <f t="shared" si="4"/>
        <v>1.5862174110061827E-7</v>
      </c>
      <c r="W33" s="94">
        <f t="shared" si="5"/>
        <v>2.8008384375314459E-4</v>
      </c>
      <c r="X33" s="95">
        <v>2</v>
      </c>
      <c r="Y33" s="94" t="str">
        <f t="shared" si="15"/>
        <v>0.00056</v>
      </c>
      <c r="Z33" s="130">
        <f t="shared" si="6"/>
        <v>0.33599999999999997</v>
      </c>
      <c r="AA33" s="107">
        <f t="shared" si="7"/>
        <v>0.2</v>
      </c>
      <c r="AC33" s="112">
        <f t="shared" si="8"/>
        <v>0.99999999999999978</v>
      </c>
      <c r="AD33" s="112">
        <f t="shared" si="9"/>
        <v>5.401235782185401E-4</v>
      </c>
      <c r="AE33" s="112">
        <f t="shared" si="10"/>
        <v>0.99940138493809894</v>
      </c>
      <c r="AF33" s="112">
        <f t="shared" si="11"/>
        <v>5.0939368538376406E-5</v>
      </c>
      <c r="AG33" s="112">
        <f t="shared" si="12"/>
        <v>7.2313779617716139E-6</v>
      </c>
      <c r="AH33" s="112">
        <f t="shared" si="13"/>
        <v>3.2073718216799506E-7</v>
      </c>
      <c r="AI33" s="66"/>
      <c r="AJ33" s="66"/>
      <c r="AK33" s="66"/>
    </row>
    <row r="34" spans="1:37" ht="17.100000000000001" customHeight="1" x14ac:dyDescent="0.25">
      <c r="A34" s="107">
        <v>0.2</v>
      </c>
      <c r="B34" s="169">
        <f>VLOOKUP(Nom_X,'MPE Table'!$C$5:$AC$50,(HLOOKUP($A$5,'MPE Table'!$D$3:$AC$4,2,0)+1),0)</f>
        <v>5.0000000000000001E-3</v>
      </c>
      <c r="C34" s="90"/>
      <c r="D34" s="91">
        <f t="shared" si="0"/>
        <v>6.5093050690944104E-6</v>
      </c>
      <c r="E34" s="89">
        <v>2.3000000000000001E-4</v>
      </c>
      <c r="F34" s="92">
        <f t="shared" si="1"/>
        <v>2.3009209254662042E-4</v>
      </c>
      <c r="H34" s="93">
        <f t="shared" si="2"/>
        <v>4.0166188624950915E-12</v>
      </c>
      <c r="I34" s="89">
        <v>0.99999090909090893</v>
      </c>
      <c r="J34" s="89">
        <v>1.0001199999999999</v>
      </c>
      <c r="K34" s="89">
        <v>0.99973000000000001</v>
      </c>
      <c r="L34" s="93">
        <f t="shared" si="14"/>
        <v>7.5317966935143597E-7</v>
      </c>
      <c r="M34" s="89">
        <v>7.992</v>
      </c>
      <c r="N34" s="89">
        <v>2.5000000000000001E-2</v>
      </c>
      <c r="O34" s="89">
        <v>0.2</v>
      </c>
      <c r="P34" s="89">
        <v>1</v>
      </c>
      <c r="Q34" s="89">
        <v>0.11</v>
      </c>
      <c r="R34" s="89">
        <f>R32</f>
        <v>1.1744000000000001</v>
      </c>
      <c r="S34" s="94">
        <v>0</v>
      </c>
      <c r="T34" s="169">
        <f t="shared" si="3"/>
        <v>4.5000000000000003E-5</v>
      </c>
      <c r="U34" s="89">
        <v>2.08</v>
      </c>
      <c r="V34" s="94">
        <f t="shared" si="4"/>
        <v>1.5882021675264609E-7</v>
      </c>
      <c r="W34" s="94">
        <f t="shared" si="5"/>
        <v>2.3010210814944875E-4</v>
      </c>
      <c r="X34" s="95">
        <v>2</v>
      </c>
      <c r="Y34" s="94" t="str">
        <f t="shared" si="15"/>
        <v>0.00046</v>
      </c>
      <c r="Z34" s="130">
        <f t="shared" si="6"/>
        <v>0.27600000000000002</v>
      </c>
      <c r="AA34" s="107">
        <f t="shared" si="7"/>
        <v>0.2</v>
      </c>
      <c r="AC34" s="112">
        <f t="shared" si="8"/>
        <v>1</v>
      </c>
      <c r="AD34" s="112">
        <f t="shared" si="9"/>
        <v>8.0025437414253328E-4</v>
      </c>
      <c r="AE34" s="112">
        <f t="shared" si="10"/>
        <v>0.99911269396922187</v>
      </c>
      <c r="AF34" s="112">
        <f t="shared" si="11"/>
        <v>7.5861151084216682E-5</v>
      </c>
      <c r="AG34" s="112">
        <f t="shared" si="12"/>
        <v>1.0714107064298883E-5</v>
      </c>
      <c r="AH34" s="112">
        <f t="shared" si="13"/>
        <v>4.7639848705390202E-7</v>
      </c>
      <c r="AI34" s="66"/>
      <c r="AJ34" s="66"/>
      <c r="AK34" s="66"/>
    </row>
    <row r="35" spans="1:37" s="104" customFormat="1" ht="17.100000000000001" customHeight="1" x14ac:dyDescent="0.25">
      <c r="A35" s="108">
        <v>0.1</v>
      </c>
      <c r="B35" s="168">
        <f>VLOOKUP(Nom_X,'MPE Table'!$C$5:$AC$50,(HLOOKUP($A$5,'MPE Table'!$D$3:$AC$4,2,0)+1),0)</f>
        <v>5.0000000000000001E-3</v>
      </c>
      <c r="C35" s="98"/>
      <c r="D35" s="106">
        <f t="shared" si="0"/>
        <v>3.2546525345472052E-6</v>
      </c>
      <c r="E35" s="97">
        <v>2.5000000000000001E-4</v>
      </c>
      <c r="F35" s="99">
        <f t="shared" si="1"/>
        <v>2.5002118462866431E-4</v>
      </c>
      <c r="H35" s="100">
        <f t="shared" si="2"/>
        <v>1.0534784985271375E-12</v>
      </c>
      <c r="I35" s="97">
        <v>0.99999090909090893</v>
      </c>
      <c r="J35" s="97">
        <v>1.0001199999999999</v>
      </c>
      <c r="K35" s="97">
        <v>0.99973000000000001</v>
      </c>
      <c r="L35" s="100">
        <f t="shared" ref="L35" si="61">IF(B35="-","-",MAX(ABS(J35-I35)/10^(ROUND(LOG(I35),1)),ABS(K35-I35)/10^(ROUND(LOG(I35),1)))*B35/SQRT(3))</f>
        <v>7.5317966935143597E-7</v>
      </c>
      <c r="M35" s="97">
        <v>7.9889999999999999</v>
      </c>
      <c r="N35" s="97">
        <v>2.5000000000000001E-2</v>
      </c>
      <c r="O35" s="97">
        <v>0.2</v>
      </c>
      <c r="P35" s="97">
        <v>1</v>
      </c>
      <c r="Q35" s="97">
        <v>0.11</v>
      </c>
      <c r="R35" s="97">
        <f>R31</f>
        <v>1.1738</v>
      </c>
      <c r="S35" s="101">
        <v>0</v>
      </c>
      <c r="T35" s="168">
        <f t="shared" si="3"/>
        <v>4.5000000000000003E-5</v>
      </c>
      <c r="U35" s="97">
        <v>2.08</v>
      </c>
      <c r="V35" s="101">
        <f t="shared" si="4"/>
        <v>7.9399342374814969E-8</v>
      </c>
      <c r="W35" s="133">
        <f t="shared" si="5"/>
        <v>2.5002443845650185E-4</v>
      </c>
      <c r="X35" s="102">
        <v>2</v>
      </c>
      <c r="Y35" s="101" t="str">
        <f t="shared" si="15"/>
        <v>0.00050</v>
      </c>
      <c r="Z35" s="131">
        <f t="shared" ref="Z35" si="62">IF(OR(MPE_X="-",Y35="-"),"-",3*Uk_X/MPE_X)</f>
        <v>0.3</v>
      </c>
      <c r="AA35" s="108">
        <f t="shared" ref="AA35" si="63">A35</f>
        <v>0.1</v>
      </c>
      <c r="AB35" s="103"/>
      <c r="AC35" s="113">
        <f t="shared" ref="AC35" si="64">SUM(AD35:AH35)</f>
        <v>0.99999999999999956</v>
      </c>
      <c r="AD35" s="113">
        <f t="shared" ref="AD35" si="65">D35^2/$W35^2</f>
        <v>1.694510793282595E-4</v>
      </c>
      <c r="AE35" s="113">
        <f t="shared" ref="AE35" si="66">E35^2/$W35^2</f>
        <v>0.9998045210116806</v>
      </c>
      <c r="AF35" s="113">
        <f t="shared" ref="AF35" si="67">H35/$W35^2</f>
        <v>1.6852361049856466E-5</v>
      </c>
      <c r="AG35" s="113">
        <f t="shared" ref="AG35" si="68">L35^2/$W35^2</f>
        <v>9.0746995692677778E-6</v>
      </c>
      <c r="AH35" s="113">
        <f t="shared" ref="AH35" si="69">V35^2/$W35^2</f>
        <v>1.0084837152083591E-7</v>
      </c>
    </row>
    <row r="36" spans="1:37" ht="17.100000000000001" customHeight="1" x14ac:dyDescent="0.25">
      <c r="A36" s="183">
        <v>0.1</v>
      </c>
      <c r="B36" s="184">
        <f>VLOOKUP(Nom_X,'MPE Table'!$C$5:$AC$50,(HLOOKUP($A$5,'MPE Table'!$D$3:$AC$4,2,0)+1),0)</f>
        <v>5.0000000000000001E-3</v>
      </c>
      <c r="C36" s="98"/>
      <c r="D36" s="185">
        <f t="shared" si="0"/>
        <v>3.2546525345472052E-6</v>
      </c>
      <c r="E36" s="97">
        <v>2.5000000000000001E-4</v>
      </c>
      <c r="F36" s="185">
        <f t="shared" si="1"/>
        <v>2.5002118462866431E-4</v>
      </c>
      <c r="G36" s="161"/>
      <c r="H36" s="184">
        <f t="shared" si="2"/>
        <v>1.0057927289599061E-12</v>
      </c>
      <c r="I36" s="97">
        <v>0.99999090909090893</v>
      </c>
      <c r="J36" s="97">
        <v>1.0001199999999999</v>
      </c>
      <c r="K36" s="97">
        <v>0.99973000000000001</v>
      </c>
      <c r="L36" s="184">
        <f t="shared" si="14"/>
        <v>7.5317966935143597E-7</v>
      </c>
      <c r="M36" s="97">
        <v>7.9889999999999999</v>
      </c>
      <c r="N36" s="97">
        <v>2.5000000000000001E-2</v>
      </c>
      <c r="O36" s="97">
        <v>0.2</v>
      </c>
      <c r="P36" s="97">
        <v>1</v>
      </c>
      <c r="Q36" s="97">
        <v>0.11</v>
      </c>
      <c r="R36" s="97">
        <f>R32</f>
        <v>1.1744000000000001</v>
      </c>
      <c r="S36" s="184">
        <v>0</v>
      </c>
      <c r="T36" s="184">
        <f t="shared" si="3"/>
        <v>4.5000000000000003E-5</v>
      </c>
      <c r="U36" s="97">
        <v>2.08</v>
      </c>
      <c r="V36" s="184">
        <f t="shared" si="4"/>
        <v>7.9439928169179352E-8</v>
      </c>
      <c r="W36" s="184">
        <f t="shared" si="5"/>
        <v>2.5002434310715852E-4</v>
      </c>
      <c r="X36" s="102">
        <v>2</v>
      </c>
      <c r="Y36" s="184" t="str">
        <f t="shared" si="15"/>
        <v>0.00050</v>
      </c>
      <c r="Z36" s="131">
        <f t="shared" si="6"/>
        <v>0.3</v>
      </c>
      <c r="AA36" s="186">
        <f t="shared" si="7"/>
        <v>0.1</v>
      </c>
      <c r="AB36" s="140"/>
      <c r="AC36" s="112">
        <f t="shared" si="8"/>
        <v>0.99999999999999967</v>
      </c>
      <c r="AD36" s="112">
        <f t="shared" si="9"/>
        <v>1.694512085720925E-4</v>
      </c>
      <c r="AE36" s="112">
        <f t="shared" si="10"/>
        <v>0.99980528358320897</v>
      </c>
      <c r="AF36" s="112">
        <f t="shared" si="11"/>
        <v>1.6089550153659016E-5</v>
      </c>
      <c r="AG36" s="112">
        <f t="shared" si="12"/>
        <v>9.0747064907282986E-6</v>
      </c>
      <c r="AH36" s="112">
        <f t="shared" si="13"/>
        <v>1.0095157424331176E-7</v>
      </c>
      <c r="AI36" s="66"/>
      <c r="AJ36" s="66"/>
      <c r="AK36" s="66"/>
    </row>
    <row r="37" spans="1:37" ht="17.100000000000001" customHeight="1" x14ac:dyDescent="0.25">
      <c r="A37" s="107">
        <v>0.05</v>
      </c>
      <c r="B37" s="169">
        <f>VLOOKUP(Nom_X,'MPE Table'!$C$5:$AC$50,(HLOOKUP($A$5,'MPE Table'!$D$3:$AC$4,2,0)+1),0)</f>
        <v>5.0000000000000001E-3</v>
      </c>
      <c r="C37" s="90"/>
      <c r="D37" s="83">
        <f t="shared" si="0"/>
        <v>1.6273262672736026E-6</v>
      </c>
      <c r="E37" s="89">
        <v>2.5000000000000001E-4</v>
      </c>
      <c r="F37" s="92">
        <f t="shared" si="1"/>
        <v>2.5000529632545818E-4</v>
      </c>
      <c r="H37" s="93">
        <f t="shared" si="2"/>
        <v>2.4021017952914035E-13</v>
      </c>
      <c r="I37" s="89">
        <v>1.0000945454545456</v>
      </c>
      <c r="J37" s="89">
        <v>1.0003899999999999</v>
      </c>
      <c r="K37" s="89">
        <v>0.99987999999999999</v>
      </c>
      <c r="L37" s="93">
        <f t="shared" si="14"/>
        <v>8.5290380675675433E-7</v>
      </c>
      <c r="M37" s="89">
        <v>8.0009999999999994</v>
      </c>
      <c r="N37" s="89">
        <v>2.5000000000000001E-2</v>
      </c>
      <c r="O37" s="89">
        <v>0.2</v>
      </c>
      <c r="P37" s="89">
        <v>1</v>
      </c>
      <c r="Q37" s="89">
        <v>0.11</v>
      </c>
      <c r="R37" s="89">
        <v>1.1749000000000001</v>
      </c>
      <c r="S37" s="94">
        <v>0</v>
      </c>
      <c r="T37" s="169">
        <f t="shared" si="3"/>
        <v>4.5000000000000003E-5</v>
      </c>
      <c r="U37" s="89">
        <v>2.09</v>
      </c>
      <c r="V37" s="94">
        <f t="shared" si="4"/>
        <v>3.986803310900347E-8</v>
      </c>
      <c r="W37" s="94">
        <f t="shared" si="5"/>
        <v>2.5000723476596297E-4</v>
      </c>
      <c r="X37" s="95">
        <v>2</v>
      </c>
      <c r="Y37" s="94" t="str">
        <f t="shared" si="15"/>
        <v>0.00050</v>
      </c>
      <c r="Z37" s="130">
        <f t="shared" si="6"/>
        <v>0.3</v>
      </c>
      <c r="AA37" s="107">
        <f t="shared" si="7"/>
        <v>0.05</v>
      </c>
      <c r="AC37" s="112">
        <f t="shared" si="8"/>
        <v>1</v>
      </c>
      <c r="AD37" s="112">
        <f t="shared" si="9"/>
        <v>4.2368600231800933E-5</v>
      </c>
      <c r="AE37" s="112">
        <f t="shared" si="10"/>
        <v>0.9999421243846075</v>
      </c>
      <c r="AF37" s="112">
        <f t="shared" si="11"/>
        <v>3.8431404354748254E-6</v>
      </c>
      <c r="AG37" s="112">
        <f t="shared" si="12"/>
        <v>1.1638444836139267E-5</v>
      </c>
      <c r="AH37" s="112">
        <f t="shared" si="13"/>
        <v>2.5429889168020037E-8</v>
      </c>
      <c r="AI37" s="66"/>
      <c r="AJ37" s="66"/>
      <c r="AK37" s="66"/>
    </row>
    <row r="38" spans="1:37" ht="17.100000000000001" customHeight="1" x14ac:dyDescent="0.25">
      <c r="A38" s="107">
        <v>0.02</v>
      </c>
      <c r="B38" s="169">
        <f>VLOOKUP(Nom_X,'MPE Table'!$C$5:$AC$50,(HLOOKUP($A$5,'MPE Table'!$D$3:$AC$4,2,0)+1),0)</f>
        <v>5.0000000000000001E-3</v>
      </c>
      <c r="C38" s="90"/>
      <c r="D38" s="91">
        <f t="shared" si="0"/>
        <v>6.5093050690944096E-7</v>
      </c>
      <c r="E38" s="89">
        <v>1.8000000000000001E-4</v>
      </c>
      <c r="F38" s="92">
        <f t="shared" si="1"/>
        <v>1.8000117696983215E-4</v>
      </c>
      <c r="H38" s="93">
        <f t="shared" si="2"/>
        <v>2.5152129585235207E-11</v>
      </c>
      <c r="I38" s="89">
        <v>1.0000945454545456</v>
      </c>
      <c r="J38" s="89">
        <v>1.0003899999999999</v>
      </c>
      <c r="K38" s="89">
        <v>0.99987999999999999</v>
      </c>
      <c r="L38" s="93">
        <f t="shared" si="14"/>
        <v>8.5290380675675433E-7</v>
      </c>
      <c r="M38" s="89">
        <v>2.7029999999999998</v>
      </c>
      <c r="N38" s="89">
        <v>2.5000000000000001E-2</v>
      </c>
      <c r="O38" s="89">
        <v>0.2</v>
      </c>
      <c r="P38" s="89">
        <v>1</v>
      </c>
      <c r="Q38" s="89">
        <v>0.11</v>
      </c>
      <c r="R38" s="89">
        <f>R37</f>
        <v>1.1749000000000001</v>
      </c>
      <c r="S38" s="94">
        <v>0</v>
      </c>
      <c r="T38" s="169">
        <f t="shared" si="3"/>
        <v>6.8999999999999997E-5</v>
      </c>
      <c r="U38" s="89">
        <v>2.09</v>
      </c>
      <c r="V38" s="94">
        <f t="shared" si="4"/>
        <v>7.2380170741824082E-8</v>
      </c>
      <c r="W38" s="94">
        <f t="shared" si="5"/>
        <v>1.8007306440415448E-4</v>
      </c>
      <c r="X38" s="95">
        <v>2</v>
      </c>
      <c r="Y38" s="94" t="str">
        <f t="shared" si="15"/>
        <v>0.00036</v>
      </c>
      <c r="Z38" s="130">
        <f t="shared" si="6"/>
        <v>0.216</v>
      </c>
      <c r="AA38" s="107">
        <f t="shared" si="7"/>
        <v>0.02</v>
      </c>
      <c r="AC38" s="112">
        <f t="shared" si="8"/>
        <v>0.99999999999999989</v>
      </c>
      <c r="AD38" s="112">
        <f t="shared" si="9"/>
        <v>1.306687514285036E-5</v>
      </c>
      <c r="AE38" s="112">
        <f t="shared" si="10"/>
        <v>0.99918866731674483</v>
      </c>
      <c r="AF38" s="112">
        <f t="shared" si="11"/>
        <v>7.7567045803855652E-4</v>
      </c>
      <c r="AG38" s="112">
        <f t="shared" si="12"/>
        <v>2.2433787152920397E-5</v>
      </c>
      <c r="AH38" s="112">
        <f t="shared" si="13"/>
        <v>1.6156292082257239E-7</v>
      </c>
      <c r="AI38" s="66"/>
      <c r="AJ38" s="66"/>
      <c r="AK38" s="66"/>
    </row>
    <row r="39" spans="1:37" ht="17.100000000000001" customHeight="1" x14ac:dyDescent="0.25">
      <c r="A39" s="107">
        <v>0.02</v>
      </c>
      <c r="B39" s="169">
        <f>VLOOKUP(Nom_X,'MPE Table'!$C$5:$AC$50,(HLOOKUP($A$5,'MPE Table'!$D$3:$AC$4,2,0)+1),0)</f>
        <v>5.0000000000000001E-3</v>
      </c>
      <c r="C39" s="90"/>
      <c r="D39" s="91">
        <f t="shared" si="0"/>
        <v>6.5093050690944096E-7</v>
      </c>
      <c r="E39" s="89">
        <v>1.4999999999999999E-4</v>
      </c>
      <c r="F39" s="92">
        <f t="shared" si="1"/>
        <v>1.5000141236176686E-4</v>
      </c>
      <c r="H39" s="93">
        <f t="shared" si="2"/>
        <v>2.4920002045716125E-11</v>
      </c>
      <c r="I39" s="89">
        <v>1.0000945454545456</v>
      </c>
      <c r="J39" s="89">
        <v>1.0003899999999999</v>
      </c>
      <c r="K39" s="89">
        <v>0.99987999999999999</v>
      </c>
      <c r="L39" s="93">
        <f t="shared" si="14"/>
        <v>8.5290380675675433E-7</v>
      </c>
      <c r="M39" s="89">
        <v>2.7109999999999999</v>
      </c>
      <c r="N39" s="89">
        <v>2.5000000000000001E-2</v>
      </c>
      <c r="O39" s="89">
        <v>0.2</v>
      </c>
      <c r="P39" s="89">
        <v>1</v>
      </c>
      <c r="Q39" s="89">
        <v>0.11</v>
      </c>
      <c r="R39" s="89">
        <f>R37</f>
        <v>1.1749000000000001</v>
      </c>
      <c r="S39" s="94">
        <v>0</v>
      </c>
      <c r="T39" s="169">
        <f t="shared" si="3"/>
        <v>6.8999999999999997E-5</v>
      </c>
      <c r="U39" s="89">
        <v>2.09</v>
      </c>
      <c r="V39" s="94">
        <f t="shared" si="4"/>
        <v>7.2166581156455379E-8</v>
      </c>
      <c r="W39" s="94">
        <f t="shared" si="5"/>
        <v>1.5008689604855432E-4</v>
      </c>
      <c r="X39" s="95">
        <v>2</v>
      </c>
      <c r="Y39" s="94" t="str">
        <f t="shared" si="15"/>
        <v>0.00030</v>
      </c>
      <c r="Z39" s="130">
        <f t="shared" si="6"/>
        <v>0.18</v>
      </c>
      <c r="AA39" s="107">
        <f t="shared" si="7"/>
        <v>0.02</v>
      </c>
      <c r="AC39" s="112">
        <f t="shared" si="8"/>
        <v>1</v>
      </c>
      <c r="AD39" s="112">
        <f t="shared" si="9"/>
        <v>1.8809779295364356E-5</v>
      </c>
      <c r="AE39" s="112">
        <f t="shared" si="10"/>
        <v>0.99884239203195169</v>
      </c>
      <c r="AF39" s="112">
        <f t="shared" si="11"/>
        <v>1.1062735312348546E-3</v>
      </c>
      <c r="AG39" s="112">
        <f t="shared" si="12"/>
        <v>3.2293458113931668E-5</v>
      </c>
      <c r="AH39" s="112">
        <f t="shared" si="13"/>
        <v>2.3119940425089099E-7</v>
      </c>
      <c r="AI39" s="66"/>
      <c r="AJ39" s="66"/>
      <c r="AK39" s="66"/>
    </row>
    <row r="40" spans="1:37" s="104" customFormat="1" ht="17.100000000000001" customHeight="1" x14ac:dyDescent="0.25">
      <c r="A40" s="108">
        <v>0.01</v>
      </c>
      <c r="B40" s="168">
        <f>VLOOKUP(Nom_X,'MPE Table'!$C$5:$AC$50,(HLOOKUP($A$5,'MPE Table'!$D$3:$AC$4,2,0)+1),0)</f>
        <v>5.0000000000000001E-3</v>
      </c>
      <c r="C40" s="98"/>
      <c r="D40" s="106">
        <f t="shared" si="0"/>
        <v>3.2546525345472048E-7</v>
      </c>
      <c r="E40" s="97">
        <v>2.0000000000000001E-4</v>
      </c>
      <c r="F40" s="99">
        <f t="shared" si="1"/>
        <v>2.0000026481890268E-4</v>
      </c>
      <c r="H40" s="100">
        <f t="shared" si="2"/>
        <v>6.357169701259342E-12</v>
      </c>
      <c r="I40" s="97">
        <v>1.0000945454545456</v>
      </c>
      <c r="J40" s="97">
        <v>1.0003899999999999</v>
      </c>
      <c r="K40" s="97">
        <v>0.99987999999999999</v>
      </c>
      <c r="L40" s="100">
        <f t="shared" ref="L40" si="70">IF(B40="-","-",MAX(ABS(J40-I40)/10^(ROUND(LOG(I40),1)),ABS(K40-I40)/10^(ROUND(LOG(I40),1)))*B40/SQRT(3))</f>
        <v>8.5290380675675433E-7</v>
      </c>
      <c r="M40" s="97">
        <v>2.6970000000000001</v>
      </c>
      <c r="N40" s="97">
        <v>2.5000000000000001E-2</v>
      </c>
      <c r="O40" s="97">
        <v>0.2</v>
      </c>
      <c r="P40" s="97">
        <v>1</v>
      </c>
      <c r="Q40" s="97">
        <v>0.11</v>
      </c>
      <c r="R40" s="97">
        <f>R36</f>
        <v>1.1744000000000001</v>
      </c>
      <c r="S40" s="101">
        <v>0</v>
      </c>
      <c r="T40" s="168">
        <f t="shared" si="3"/>
        <v>6.8999999999999997E-5</v>
      </c>
      <c r="U40" s="97">
        <v>2.09</v>
      </c>
      <c r="V40" s="101">
        <f t="shared" si="4"/>
        <v>3.6255161630113214E-8</v>
      </c>
      <c r="W40" s="133">
        <f t="shared" si="5"/>
        <v>2.0001797883358583E-4</v>
      </c>
      <c r="X40" s="102">
        <v>2</v>
      </c>
      <c r="Y40" s="101" t="str">
        <f t="shared" si="15"/>
        <v>0.00040</v>
      </c>
      <c r="Z40" s="131">
        <f t="shared" ref="Z40" si="71">IF(OR(MPE_X="-",Y40="-"),"-",3*Uk_X/MPE_X)</f>
        <v>0.24000000000000002</v>
      </c>
      <c r="AA40" s="108">
        <f t="shared" ref="AA40" si="72">A40</f>
        <v>0.01</v>
      </c>
      <c r="AB40" s="103"/>
      <c r="AC40" s="113">
        <f t="shared" ref="AC40" si="73">SUM(AD40:AH40)</f>
        <v>1</v>
      </c>
      <c r="AD40" s="113">
        <f t="shared" ref="AD40" si="74">D40^2/$W40^2</f>
        <v>2.6477147305373246E-6</v>
      </c>
      <c r="AE40" s="113">
        <f t="shared" ref="AE40" si="75">E40^2/$W40^2</f>
        <v>0.9998202359041205</v>
      </c>
      <c r="AF40" s="113">
        <f t="shared" ref="AF40" si="76">H40/$W40^2</f>
        <v>1.5890067275989108E-4</v>
      </c>
      <c r="AG40" s="113">
        <f t="shared" ref="AG40" si="77">L40^2/$W40^2</f>
        <v>1.8182853377619221E-5</v>
      </c>
      <c r="AH40" s="113">
        <f t="shared" ref="AH40" si="78">V40^2/$W40^2</f>
        <v>3.2855011407315227E-8</v>
      </c>
    </row>
    <row r="41" spans="1:37" ht="17.100000000000001" customHeight="1" x14ac:dyDescent="0.25">
      <c r="A41" s="183">
        <v>0.01</v>
      </c>
      <c r="B41" s="184">
        <f>VLOOKUP(Nom_X,'MPE Table'!$C$5:$AC$50,(HLOOKUP($A$5,'MPE Table'!$D$3:$AC$4,2,0)+1),0)</f>
        <v>5.0000000000000001E-3</v>
      </c>
      <c r="C41" s="98"/>
      <c r="D41" s="185">
        <f t="shared" si="0"/>
        <v>3.2546525345472048E-7</v>
      </c>
      <c r="E41" s="97">
        <v>2.0000000000000001E-4</v>
      </c>
      <c r="F41" s="185">
        <f t="shared" si="1"/>
        <v>2.0000026481890268E-4</v>
      </c>
      <c r="G41" s="161"/>
      <c r="H41" s="184">
        <f t="shared" si="2"/>
        <v>6.3319789490640993E-12</v>
      </c>
      <c r="I41" s="97">
        <v>1.0000945454545456</v>
      </c>
      <c r="J41" s="97">
        <v>1.0003899999999999</v>
      </c>
      <c r="K41" s="97">
        <v>0.99987999999999999</v>
      </c>
      <c r="L41" s="184">
        <f t="shared" si="14"/>
        <v>8.5290380675675433E-7</v>
      </c>
      <c r="M41" s="97">
        <v>2.6970000000000001</v>
      </c>
      <c r="N41" s="97">
        <v>2.5000000000000001E-2</v>
      </c>
      <c r="O41" s="97">
        <v>0.2</v>
      </c>
      <c r="P41" s="97">
        <v>1</v>
      </c>
      <c r="Q41" s="97">
        <v>0.11</v>
      </c>
      <c r="R41" s="97">
        <f>R37</f>
        <v>1.1749000000000001</v>
      </c>
      <c r="S41" s="184">
        <v>0</v>
      </c>
      <c r="T41" s="184">
        <f t="shared" si="3"/>
        <v>6.8999999999999997E-5</v>
      </c>
      <c r="U41" s="97">
        <v>2.09</v>
      </c>
      <c r="V41" s="184">
        <f t="shared" si="4"/>
        <v>3.6270597240480252E-8</v>
      </c>
      <c r="W41" s="184">
        <f t="shared" si="5"/>
        <v>2.0001791586515461E-4</v>
      </c>
      <c r="X41" s="102">
        <v>2</v>
      </c>
      <c r="Y41" s="184" t="str">
        <f t="shared" si="15"/>
        <v>0.00040</v>
      </c>
      <c r="Z41" s="131">
        <f t="shared" si="6"/>
        <v>0.24000000000000002</v>
      </c>
      <c r="AA41" s="186">
        <f t="shared" si="7"/>
        <v>0.01</v>
      </c>
      <c r="AB41" s="140"/>
      <c r="AC41" s="112">
        <f t="shared" si="8"/>
        <v>1</v>
      </c>
      <c r="AD41" s="112">
        <f t="shared" si="9"/>
        <v>2.6477163976126803E-6</v>
      </c>
      <c r="AE41" s="112">
        <f t="shared" si="10"/>
        <v>0.99982086541894577</v>
      </c>
      <c r="AF41" s="112">
        <f t="shared" si="11"/>
        <v>1.5827111681669534E-4</v>
      </c>
      <c r="AG41" s="112">
        <f t="shared" si="12"/>
        <v>1.8182864826053001E-5</v>
      </c>
      <c r="AH41" s="112">
        <f t="shared" si="13"/>
        <v>3.2883014064201539E-8</v>
      </c>
      <c r="AI41" s="66"/>
      <c r="AJ41" s="66"/>
      <c r="AK41" s="66"/>
    </row>
    <row r="42" spans="1:37" ht="17.100000000000001" customHeight="1" x14ac:dyDescent="0.25">
      <c r="A42" s="107">
        <v>5.0000000000000001E-3</v>
      </c>
      <c r="B42" s="169">
        <f>VLOOKUP(Nom_X,'MPE Table'!$C$5:$AC$50,(HLOOKUP($A$5,'MPE Table'!$D$3:$AC$4,2,0)+1),0)</f>
        <v>5.0000000000000001E-3</v>
      </c>
      <c r="C42" s="90"/>
      <c r="D42" s="83">
        <f t="shared" si="0"/>
        <v>1.6273262672736024E-7</v>
      </c>
      <c r="E42" s="89">
        <v>1.7000000000000001E-4</v>
      </c>
      <c r="F42" s="92">
        <f t="shared" si="1"/>
        <v>1.7000007788794629E-4</v>
      </c>
      <c r="H42" s="93">
        <f t="shared" si="2"/>
        <v>1.8918885704505691E-12</v>
      </c>
      <c r="I42" s="89">
        <v>0.99982181818181803</v>
      </c>
      <c r="J42" s="89">
        <v>1</v>
      </c>
      <c r="K42" s="89">
        <v>0.99963999999999997</v>
      </c>
      <c r="L42" s="93">
        <f t="shared" si="14"/>
        <v>5.2486388108112881E-7</v>
      </c>
      <c r="M42" s="89">
        <v>2.6890000000000001</v>
      </c>
      <c r="N42" s="89">
        <v>2.5000000000000001E-2</v>
      </c>
      <c r="O42" s="89">
        <v>0.2</v>
      </c>
      <c r="P42" s="89">
        <v>1</v>
      </c>
      <c r="Q42" s="89">
        <v>0.11</v>
      </c>
      <c r="R42" s="89">
        <v>1.1581999999999999</v>
      </c>
      <c r="S42" s="94">
        <v>0</v>
      </c>
      <c r="T42" s="169">
        <f t="shared" si="3"/>
        <v>6.8999999999999997E-5</v>
      </c>
      <c r="U42" s="89">
        <v>2.16</v>
      </c>
      <c r="V42" s="94">
        <f t="shared" si="4"/>
        <v>1.8531261187766693E-8</v>
      </c>
      <c r="W42" s="94">
        <f t="shared" si="5"/>
        <v>1.700064533950978E-4</v>
      </c>
      <c r="X42" s="95">
        <v>2</v>
      </c>
      <c r="Y42" s="94" t="str">
        <f t="shared" si="15"/>
        <v>0.00034</v>
      </c>
      <c r="Z42" s="130">
        <f t="shared" si="6"/>
        <v>0.20400000000000001</v>
      </c>
      <c r="AA42" s="107">
        <f t="shared" si="7"/>
        <v>5.0000000000000001E-3</v>
      </c>
      <c r="AC42" s="112">
        <f t="shared" si="8"/>
        <v>1</v>
      </c>
      <c r="AD42" s="112">
        <f t="shared" si="9"/>
        <v>9.1625942383537534E-7</v>
      </c>
      <c r="AE42" s="112">
        <f t="shared" si="10"/>
        <v>0.99992408202765926</v>
      </c>
      <c r="AF42" s="112">
        <f t="shared" si="11"/>
        <v>6.5458302495031339E-5</v>
      </c>
      <c r="AG42" s="112">
        <f t="shared" si="12"/>
        <v>9.5315287066290031E-6</v>
      </c>
      <c r="AH42" s="112">
        <f t="shared" si="13"/>
        <v>1.1881715238665096E-8</v>
      </c>
      <c r="AI42" s="66"/>
      <c r="AJ42" s="66"/>
      <c r="AK42" s="66"/>
    </row>
    <row r="43" spans="1:37" ht="17.100000000000001" customHeight="1" x14ac:dyDescent="0.25">
      <c r="A43" s="107">
        <v>2E-3</v>
      </c>
      <c r="B43" s="169">
        <f>VLOOKUP(Nom_X,'MPE Table'!$C$5:$AC$50,(HLOOKUP($A$5,'MPE Table'!$D$3:$AC$4,2,0)+1),0)</f>
        <v>5.0000000000000001E-3</v>
      </c>
      <c r="C43" s="90"/>
      <c r="D43" s="91">
        <f t="shared" si="0"/>
        <v>6.5093050690944107E-8</v>
      </c>
      <c r="E43" s="89">
        <v>1.8000000000000001E-4</v>
      </c>
      <c r="F43" s="92">
        <f t="shared" si="1"/>
        <v>1.8000001176973643E-4</v>
      </c>
      <c r="H43" s="93">
        <f t="shared" si="2"/>
        <v>2.9613391339923207E-13</v>
      </c>
      <c r="I43" s="89">
        <v>0.99982181818181803</v>
      </c>
      <c r="J43" s="89">
        <v>1</v>
      </c>
      <c r="K43" s="89">
        <v>0.99963999999999997</v>
      </c>
      <c r="L43" s="93">
        <f t="shared" si="14"/>
        <v>5.2486388108112881E-7</v>
      </c>
      <c r="M43" s="89">
        <v>2.7069999999999999</v>
      </c>
      <c r="N43" s="89">
        <v>2.5000000000000001E-2</v>
      </c>
      <c r="O43" s="89">
        <v>0.2</v>
      </c>
      <c r="P43" s="89">
        <v>1</v>
      </c>
      <c r="Q43" s="89">
        <v>0.11</v>
      </c>
      <c r="R43" s="89">
        <f>R42</f>
        <v>1.1581999999999999</v>
      </c>
      <c r="S43" s="94">
        <v>0</v>
      </c>
      <c r="T43" s="169">
        <f t="shared" si="3"/>
        <v>6.8999999999999997E-5</v>
      </c>
      <c r="U43" s="89">
        <v>2.16</v>
      </c>
      <c r="V43" s="94">
        <f t="shared" si="4"/>
        <v>7.3632155646700634E-9</v>
      </c>
      <c r="W43" s="94">
        <f t="shared" si="5"/>
        <v>1.8000159973547252E-4</v>
      </c>
      <c r="X43" s="95">
        <v>2</v>
      </c>
      <c r="Y43" s="94" t="str">
        <f t="shared" si="15"/>
        <v>0.00036</v>
      </c>
      <c r="Z43" s="130">
        <f t="shared" si="6"/>
        <v>0.216</v>
      </c>
      <c r="AA43" s="107">
        <f t="shared" si="7"/>
        <v>2E-3</v>
      </c>
      <c r="AC43" s="112">
        <f t="shared" si="8"/>
        <v>1.0000000000000002</v>
      </c>
      <c r="AD43" s="112">
        <f t="shared" si="9"/>
        <v>1.3077252887024621E-7</v>
      </c>
      <c r="AE43" s="112">
        <f t="shared" si="10"/>
        <v>0.99998222539837256</v>
      </c>
      <c r="AF43" s="112">
        <f t="shared" si="11"/>
        <v>9.1397731400275613E-6</v>
      </c>
      <c r="AG43" s="112">
        <f t="shared" si="12"/>
        <v>8.5023826258973739E-6</v>
      </c>
      <c r="AH43" s="112">
        <f t="shared" si="13"/>
        <v>1.6733327088650666E-9</v>
      </c>
      <c r="AI43" s="66"/>
      <c r="AJ43" s="66"/>
      <c r="AK43" s="66"/>
    </row>
    <row r="44" spans="1:37" ht="17.100000000000001" customHeight="1" x14ac:dyDescent="0.25">
      <c r="A44" s="107">
        <v>2E-3</v>
      </c>
      <c r="B44" s="169">
        <f>VLOOKUP(Nom_X,'MPE Table'!$C$5:$AC$50,(HLOOKUP($A$5,'MPE Table'!$D$3:$AC$4,2,0)+1),0)</f>
        <v>5.0000000000000001E-3</v>
      </c>
      <c r="C44" s="90"/>
      <c r="D44" s="91">
        <f t="shared" si="0"/>
        <v>6.5093050690944107E-8</v>
      </c>
      <c r="E44" s="89">
        <v>1.4999999999999999E-4</v>
      </c>
      <c r="F44" s="92">
        <f t="shared" si="1"/>
        <v>1.5000001412368349E-4</v>
      </c>
      <c r="H44" s="93">
        <f t="shared" si="2"/>
        <v>2.9757839372720559E-13</v>
      </c>
      <c r="I44" s="89">
        <v>0.99982181818181803</v>
      </c>
      <c r="J44" s="89">
        <v>1</v>
      </c>
      <c r="K44" s="89">
        <v>0.99963999999999997</v>
      </c>
      <c r="L44" s="93">
        <f t="shared" si="14"/>
        <v>5.2486388108112881E-7</v>
      </c>
      <c r="M44" s="89">
        <v>2.7029999999999998</v>
      </c>
      <c r="N44" s="89">
        <v>2.5000000000000001E-2</v>
      </c>
      <c r="O44" s="89">
        <v>0.2</v>
      </c>
      <c r="P44" s="89">
        <v>1</v>
      </c>
      <c r="Q44" s="89">
        <v>0.11</v>
      </c>
      <c r="R44" s="89">
        <f>R42</f>
        <v>1.1581999999999999</v>
      </c>
      <c r="S44" s="94">
        <v>0</v>
      </c>
      <c r="T44" s="169">
        <f t="shared" si="3"/>
        <v>6.8999999999999997E-5</v>
      </c>
      <c r="U44" s="89">
        <v>2.16</v>
      </c>
      <c r="V44" s="94">
        <f t="shared" si="4"/>
        <v>7.3741119251061249E-9</v>
      </c>
      <c r="W44" s="94">
        <f t="shared" si="5"/>
        <v>1.5000192449422163E-4</v>
      </c>
      <c r="X44" s="95">
        <v>2</v>
      </c>
      <c r="Y44" s="94" t="str">
        <f t="shared" si="15"/>
        <v>0.00030</v>
      </c>
      <c r="Z44" s="130">
        <f t="shared" si="6"/>
        <v>0.18</v>
      </c>
      <c r="AA44" s="107">
        <f t="shared" si="7"/>
        <v>2E-3</v>
      </c>
      <c r="AC44" s="112">
        <f t="shared" si="8"/>
        <v>0.99999999999999978</v>
      </c>
      <c r="AD44" s="112">
        <f t="shared" si="9"/>
        <v>1.8831095673564197E-7</v>
      </c>
      <c r="AE44" s="112">
        <f t="shared" si="10"/>
        <v>0.9999743405708601</v>
      </c>
      <c r="AF44" s="112">
        <f t="shared" si="11"/>
        <v>1.3225367023799922E-5</v>
      </c>
      <c r="AG44" s="112">
        <f t="shared" si="12"/>
        <v>1.2243334442234831E-5</v>
      </c>
      <c r="AH44" s="112">
        <f t="shared" si="13"/>
        <v>2.4167169505644273E-9</v>
      </c>
      <c r="AI44" s="66"/>
      <c r="AJ44" s="66"/>
      <c r="AK44" s="66"/>
    </row>
    <row r="45" spans="1:37" ht="17.100000000000001" customHeight="1" x14ac:dyDescent="0.25">
      <c r="A45" s="108">
        <v>1E-3</v>
      </c>
      <c r="B45" s="168">
        <f>VLOOKUP(Nom_X,'MPE Table'!$C$5:$AC$50,(HLOOKUP($A$5,'MPE Table'!$D$3:$AC$4,2,0)+1),0)</f>
        <v>5.0000000000000001E-3</v>
      </c>
      <c r="C45" s="98"/>
      <c r="D45" s="106">
        <f t="shared" si="0"/>
        <v>3.2546525345472053E-8</v>
      </c>
      <c r="E45" s="97">
        <v>2.0000000000000001E-4</v>
      </c>
      <c r="F45" s="99">
        <f t="shared" si="1"/>
        <v>2.0000000264819076E-4</v>
      </c>
      <c r="G45" s="98"/>
      <c r="H45" s="100">
        <f t="shared" si="2"/>
        <v>6.2444485183543904E-14</v>
      </c>
      <c r="I45" s="97">
        <v>0.99982181818181803</v>
      </c>
      <c r="J45" s="97">
        <v>1</v>
      </c>
      <c r="K45" s="97">
        <v>0.99963999999999997</v>
      </c>
      <c r="L45" s="100">
        <f t="shared" ref="L45" si="79">IF(B45="-","-",MAX(ABS(J45-I45)/10^(ROUND(LOG(I45),1)),ABS(K45-I45)/10^(ROUND(LOG(I45),1)))*B45/SQRT(3))</f>
        <v>5.2486388108112881E-7</v>
      </c>
      <c r="M45" s="97">
        <v>2.7090000000000001</v>
      </c>
      <c r="N45" s="97">
        <v>2.5000000000000001E-2</v>
      </c>
      <c r="O45" s="97">
        <v>0.2</v>
      </c>
      <c r="P45" s="97">
        <v>1</v>
      </c>
      <c r="Q45" s="97">
        <v>0.11</v>
      </c>
      <c r="R45" s="97">
        <f>R41</f>
        <v>1.1749000000000001</v>
      </c>
      <c r="S45" s="101">
        <v>0</v>
      </c>
      <c r="T45" s="168">
        <f t="shared" si="3"/>
        <v>6.8999999999999997E-5</v>
      </c>
      <c r="U45" s="97">
        <v>2.16</v>
      </c>
      <c r="V45" s="101">
        <f t="shared" si="4"/>
        <v>3.7319353640684256E-9</v>
      </c>
      <c r="W45" s="133">
        <f t="shared" si="5"/>
        <v>2.000008474976606E-4</v>
      </c>
      <c r="X45" s="102">
        <v>2</v>
      </c>
      <c r="Y45" s="101" t="str">
        <f t="shared" si="15"/>
        <v>0.00040</v>
      </c>
      <c r="Z45" s="131">
        <f t="shared" ref="Z45" si="80">IF(OR(MPE_X="-",Y45="-"),"-",3*Uk_X/MPE_X)</f>
        <v>0.24000000000000002</v>
      </c>
      <c r="AA45" s="108">
        <f t="shared" ref="AA45" si="81">A45</f>
        <v>1E-3</v>
      </c>
      <c r="AB45" s="140"/>
      <c r="AC45" s="112">
        <f t="shared" ref="AC45" si="82">SUM(AD45:AH45)</f>
        <v>1.0000000000000002</v>
      </c>
      <c r="AD45" s="112">
        <f t="shared" ref="AD45" si="83">D45^2/$W45^2</f>
        <v>2.6481683369463814E-8</v>
      </c>
      <c r="AE45" s="112">
        <f t="shared" ref="AE45" si="84">E45^2/$W45^2</f>
        <v>0.99999152507726263</v>
      </c>
      <c r="AF45" s="112">
        <f t="shared" ref="AF45" si="85">H45/$W45^2</f>
        <v>1.561098899283915E-6</v>
      </c>
      <c r="AG45" s="112">
        <f t="shared" ref="AG45" si="86">L45^2/$W45^2</f>
        <v>6.8869939743521504E-6</v>
      </c>
      <c r="AH45" s="112">
        <f t="shared" ref="AH45" si="87">V45^2/$W45^2</f>
        <v>3.4818058821102156E-10</v>
      </c>
      <c r="AI45" s="66"/>
      <c r="AJ45" s="66"/>
      <c r="AK45" s="66"/>
    </row>
    <row r="46" spans="1:37" ht="17.100000000000001" customHeight="1" x14ac:dyDescent="0.25">
      <c r="A46" s="183">
        <v>1E-3</v>
      </c>
      <c r="B46" s="184">
        <f>VLOOKUP(Nom_X,'MPE Table'!$C$5:$AC$50,(HLOOKUP($A$5,'MPE Table'!$D$3:$AC$4,2,0)+1),0)</f>
        <v>5.0000000000000001E-3</v>
      </c>
      <c r="C46" s="98"/>
      <c r="D46" s="185">
        <f t="shared" si="0"/>
        <v>3.2546525345472053E-8</v>
      </c>
      <c r="E46" s="97">
        <v>2.0000000000000001E-4</v>
      </c>
      <c r="F46" s="185">
        <f t="shared" si="1"/>
        <v>2.0000000264819076E-4</v>
      </c>
      <c r="H46" s="184">
        <f t="shared" si="2"/>
        <v>7.385371901490479E-14</v>
      </c>
      <c r="I46" s="97">
        <v>0.99982181818181803</v>
      </c>
      <c r="J46" s="97">
        <v>1</v>
      </c>
      <c r="K46" s="97">
        <v>0.99963999999999997</v>
      </c>
      <c r="L46" s="184">
        <f t="shared" si="14"/>
        <v>5.2486388108112881E-7</v>
      </c>
      <c r="M46" s="97">
        <v>2.7090000000000001</v>
      </c>
      <c r="N46" s="97">
        <v>2.5000000000000001E-2</v>
      </c>
      <c r="O46" s="97">
        <v>0.2</v>
      </c>
      <c r="P46" s="97">
        <v>1</v>
      </c>
      <c r="Q46" s="97">
        <v>0.11</v>
      </c>
      <c r="R46" s="97">
        <f>R42</f>
        <v>1.1581999999999999</v>
      </c>
      <c r="S46" s="184">
        <v>0</v>
      </c>
      <c r="T46" s="184">
        <f t="shared" si="3"/>
        <v>6.8999999999999997E-5</v>
      </c>
      <c r="U46" s="97">
        <v>2.16</v>
      </c>
      <c r="V46" s="184">
        <f t="shared" si="4"/>
        <v>3.6788897256481831E-9</v>
      </c>
      <c r="W46" s="184">
        <f t="shared" si="5"/>
        <v>2.0000087601963952E-4</v>
      </c>
      <c r="X46" s="102">
        <v>2</v>
      </c>
      <c r="Y46" s="184" t="str">
        <f t="shared" si="15"/>
        <v>0.00040</v>
      </c>
      <c r="Z46" s="131">
        <f t="shared" si="6"/>
        <v>0.24000000000000002</v>
      </c>
      <c r="AA46" s="186">
        <f t="shared" si="7"/>
        <v>1E-3</v>
      </c>
      <c r="AB46" s="140"/>
      <c r="AC46" s="112">
        <f t="shared" si="8"/>
        <v>1</v>
      </c>
      <c r="AD46" s="112">
        <f t="shared" si="9"/>
        <v>2.6481675816397288E-8</v>
      </c>
      <c r="AE46" s="112">
        <f t="shared" si="10"/>
        <v>0.99999123986116023</v>
      </c>
      <c r="AF46" s="112">
        <f t="shared" si="11"/>
        <v>1.8463268011518096E-6</v>
      </c>
      <c r="AG46" s="112">
        <f t="shared" si="12"/>
        <v>6.8869920100539246E-6</v>
      </c>
      <c r="AH46" s="112">
        <f t="shared" si="13"/>
        <v>3.3835277629373155E-10</v>
      </c>
      <c r="AI46" s="66"/>
      <c r="AJ46" s="66"/>
      <c r="AK46" s="66"/>
    </row>
    <row r="47" spans="1:37" ht="17.100000000000001" customHeight="1" x14ac:dyDescent="0.25">
      <c r="A47" s="107">
        <v>5.0000000000000001E-4</v>
      </c>
      <c r="B47" s="169">
        <f>VLOOKUP(Nom_X,'MPE Table'!$C$5:$AC$50,(HLOOKUP($A$5,'MPE Table'!$D$3:$AC$4,2,0)+1),0)</f>
        <v>5.0000000000000001E-3</v>
      </c>
      <c r="C47" s="90"/>
      <c r="D47" s="83">
        <f t="shared" si="0"/>
        <v>1.6273262672736027E-8</v>
      </c>
      <c r="E47" s="89">
        <v>0</v>
      </c>
      <c r="F47" s="92">
        <f t="shared" si="1"/>
        <v>1.6273262672736027E-8</v>
      </c>
      <c r="G47" s="78"/>
      <c r="H47" s="93">
        <f t="shared" si="2"/>
        <v>0</v>
      </c>
      <c r="I47" s="89">
        <v>1</v>
      </c>
      <c r="J47" s="89">
        <v>1</v>
      </c>
      <c r="K47" s="89">
        <v>1</v>
      </c>
      <c r="L47" s="93">
        <f t="shared" si="14"/>
        <v>0</v>
      </c>
      <c r="M47" s="89">
        <v>8</v>
      </c>
      <c r="N47" s="89">
        <v>7.0000000000000007E-2</v>
      </c>
      <c r="O47" s="89">
        <v>0.2</v>
      </c>
      <c r="P47" s="89">
        <v>1</v>
      </c>
      <c r="Q47" s="89">
        <v>0.11</v>
      </c>
      <c r="R47" s="89">
        <v>1.2</v>
      </c>
      <c r="S47" s="94">
        <v>0</v>
      </c>
      <c r="T47" s="169">
        <f t="shared" si="3"/>
        <v>4.5000000000000003E-5</v>
      </c>
      <c r="U47" s="89">
        <v>0</v>
      </c>
      <c r="V47" s="94">
        <f t="shared" si="4"/>
        <v>0</v>
      </c>
      <c r="W47" s="94">
        <f t="shared" si="5"/>
        <v>1.6273262672736027E-8</v>
      </c>
      <c r="X47" s="95">
        <v>2</v>
      </c>
      <c r="Y47" s="94" t="str">
        <f t="shared" si="15"/>
        <v>0.000000033</v>
      </c>
      <c r="Z47" s="130">
        <f t="shared" si="6"/>
        <v>1.98E-5</v>
      </c>
      <c r="AA47" s="107">
        <f t="shared" si="7"/>
        <v>5.0000000000000001E-4</v>
      </c>
      <c r="AC47" s="112">
        <f t="shared" si="8"/>
        <v>1</v>
      </c>
      <c r="AD47" s="112">
        <f t="shared" si="9"/>
        <v>1</v>
      </c>
      <c r="AE47" s="112">
        <f t="shared" si="10"/>
        <v>0</v>
      </c>
      <c r="AF47" s="112">
        <f t="shared" si="11"/>
        <v>0</v>
      </c>
      <c r="AG47" s="112">
        <f t="shared" si="12"/>
        <v>0</v>
      </c>
      <c r="AH47" s="112">
        <f t="shared" si="13"/>
        <v>0</v>
      </c>
      <c r="AI47" s="66"/>
      <c r="AJ47" s="66"/>
      <c r="AK47" s="66"/>
    </row>
    <row r="48" spans="1:37" ht="17.100000000000001" customHeight="1" x14ac:dyDescent="0.25">
      <c r="A48" s="107">
        <v>2.0000000000000001E-4</v>
      </c>
      <c r="B48" s="169">
        <f>VLOOKUP(Nom_X,'MPE Table'!$C$5:$AC$50,(HLOOKUP($A$5,'MPE Table'!$D$3:$AC$4,2,0)+1),0)</f>
        <v>5.0000000000000001E-3</v>
      </c>
      <c r="C48" s="90"/>
      <c r="D48" s="91">
        <f t="shared" si="0"/>
        <v>6.50930506909441E-9</v>
      </c>
      <c r="E48" s="89">
        <v>0</v>
      </c>
      <c r="F48" s="92">
        <f t="shared" si="1"/>
        <v>6.50930506909441E-9</v>
      </c>
      <c r="H48" s="93">
        <f t="shared" si="2"/>
        <v>0</v>
      </c>
      <c r="I48" s="89">
        <v>1</v>
      </c>
      <c r="J48" s="89">
        <v>1</v>
      </c>
      <c r="K48" s="89">
        <v>1</v>
      </c>
      <c r="L48" s="93">
        <f t="shared" si="14"/>
        <v>0</v>
      </c>
      <c r="M48" s="89">
        <v>8</v>
      </c>
      <c r="N48" s="89">
        <v>7.0000000000000007E-2</v>
      </c>
      <c r="O48" s="89">
        <v>0.2</v>
      </c>
      <c r="P48" s="89">
        <v>1</v>
      </c>
      <c r="Q48" s="89">
        <v>0.11</v>
      </c>
      <c r="R48" s="89">
        <f>R47</f>
        <v>1.2</v>
      </c>
      <c r="S48" s="94">
        <v>0</v>
      </c>
      <c r="T48" s="169">
        <f t="shared" si="3"/>
        <v>4.5000000000000003E-5</v>
      </c>
      <c r="U48" s="89">
        <v>0</v>
      </c>
      <c r="V48" s="94">
        <f t="shared" si="4"/>
        <v>0</v>
      </c>
      <c r="W48" s="94">
        <f t="shared" si="5"/>
        <v>6.50930506909441E-9</v>
      </c>
      <c r="X48" s="95">
        <v>2</v>
      </c>
      <c r="Y48" s="94" t="str">
        <f t="shared" si="15"/>
        <v>0.000000013</v>
      </c>
      <c r="Z48" s="130">
        <f t="shared" si="6"/>
        <v>7.8000000000000016E-6</v>
      </c>
      <c r="AA48" s="107">
        <f t="shared" si="7"/>
        <v>2.0000000000000001E-4</v>
      </c>
      <c r="AC48" s="112">
        <f t="shared" si="8"/>
        <v>1</v>
      </c>
      <c r="AD48" s="112">
        <f t="shared" si="9"/>
        <v>1</v>
      </c>
      <c r="AE48" s="112">
        <f t="shared" si="10"/>
        <v>0</v>
      </c>
      <c r="AF48" s="112">
        <f t="shared" si="11"/>
        <v>0</v>
      </c>
      <c r="AG48" s="112">
        <f t="shared" si="12"/>
        <v>0</v>
      </c>
      <c r="AH48" s="112">
        <f t="shared" si="13"/>
        <v>0</v>
      </c>
      <c r="AI48" s="66"/>
      <c r="AJ48" s="66"/>
      <c r="AK48" s="66"/>
    </row>
    <row r="49" spans="1:37" ht="17.100000000000001" customHeight="1" x14ac:dyDescent="0.25">
      <c r="A49" s="107">
        <v>2.0000000000000001E-4</v>
      </c>
      <c r="B49" s="169">
        <f>VLOOKUP(Nom_X,'MPE Table'!$C$5:$AC$50,(HLOOKUP($A$5,'MPE Table'!$D$3:$AC$4,2,0)+1),0)</f>
        <v>5.0000000000000001E-3</v>
      </c>
      <c r="C49" s="90"/>
      <c r="D49" s="91">
        <f t="shared" si="0"/>
        <v>6.50930506909441E-9</v>
      </c>
      <c r="E49" s="89">
        <v>0</v>
      </c>
      <c r="F49" s="92">
        <f t="shared" si="1"/>
        <v>6.50930506909441E-9</v>
      </c>
      <c r="H49" s="93">
        <f t="shared" si="2"/>
        <v>0</v>
      </c>
      <c r="I49" s="89">
        <v>1</v>
      </c>
      <c r="J49" s="89">
        <v>1</v>
      </c>
      <c r="K49" s="89">
        <v>1</v>
      </c>
      <c r="L49" s="93">
        <f t="shared" si="14"/>
        <v>0</v>
      </c>
      <c r="M49" s="89">
        <v>8</v>
      </c>
      <c r="N49" s="89">
        <v>7.0000000000000007E-2</v>
      </c>
      <c r="O49" s="89">
        <v>0.2</v>
      </c>
      <c r="P49" s="89">
        <v>1</v>
      </c>
      <c r="Q49" s="89">
        <v>0.11</v>
      </c>
      <c r="R49" s="89">
        <f>R47</f>
        <v>1.2</v>
      </c>
      <c r="S49" s="94">
        <v>0</v>
      </c>
      <c r="T49" s="169">
        <f t="shared" si="3"/>
        <v>4.5000000000000003E-5</v>
      </c>
      <c r="U49" s="89">
        <v>0</v>
      </c>
      <c r="V49" s="94">
        <f t="shared" si="4"/>
        <v>0</v>
      </c>
      <c r="W49" s="94">
        <f t="shared" si="5"/>
        <v>6.50930506909441E-9</v>
      </c>
      <c r="X49" s="95">
        <v>2</v>
      </c>
      <c r="Y49" s="94" t="str">
        <f t="shared" si="15"/>
        <v>0.000000013</v>
      </c>
      <c r="Z49" s="130">
        <f t="shared" si="6"/>
        <v>7.8000000000000016E-6</v>
      </c>
      <c r="AA49" s="107">
        <f t="shared" si="7"/>
        <v>2.0000000000000001E-4</v>
      </c>
      <c r="AC49" s="112">
        <f t="shared" si="8"/>
        <v>1</v>
      </c>
      <c r="AD49" s="112">
        <f t="shared" si="9"/>
        <v>1</v>
      </c>
      <c r="AE49" s="112">
        <f t="shared" si="10"/>
        <v>0</v>
      </c>
      <c r="AF49" s="112">
        <f t="shared" si="11"/>
        <v>0</v>
      </c>
      <c r="AG49" s="112">
        <f t="shared" si="12"/>
        <v>0</v>
      </c>
      <c r="AH49" s="112">
        <f t="shared" si="13"/>
        <v>0</v>
      </c>
      <c r="AI49" s="66"/>
      <c r="AJ49" s="66"/>
      <c r="AK49" s="66"/>
    </row>
    <row r="50" spans="1:37" ht="17.100000000000001" customHeight="1" x14ac:dyDescent="0.25">
      <c r="A50" s="108">
        <v>1E-4</v>
      </c>
      <c r="B50" s="168">
        <f>VLOOKUP(Nom_X,'MPE Table'!$C$5:$AC$50,(HLOOKUP($A$5,'MPE Table'!$D$3:$AC$4,2,0)+1),0)</f>
        <v>5.0000000000000001E-3</v>
      </c>
      <c r="C50" s="98"/>
      <c r="D50" s="106">
        <f t="shared" si="0"/>
        <v>3.254652534547205E-9</v>
      </c>
      <c r="E50" s="97">
        <v>0</v>
      </c>
      <c r="F50" s="99">
        <f t="shared" si="1"/>
        <v>3.254652534547205E-9</v>
      </c>
      <c r="H50" s="100">
        <f t="shared" si="2"/>
        <v>2.0902041015625044E-17</v>
      </c>
      <c r="I50" s="97">
        <v>1</v>
      </c>
      <c r="J50" s="97">
        <v>1</v>
      </c>
      <c r="K50" s="97">
        <v>1</v>
      </c>
      <c r="L50" s="100">
        <f t="shared" ref="L50" si="88">IF(B50="-","-",MAX(ABS(J50-I50)/10^(ROUND(LOG(I50),1)),ABS(K50-I50)/10^(ROUND(LOG(I50),1)))*B50/SQRT(3))</f>
        <v>0</v>
      </c>
      <c r="M50" s="97">
        <v>8</v>
      </c>
      <c r="N50" s="97">
        <v>7.0000000000000007E-2</v>
      </c>
      <c r="O50" s="97">
        <v>0.2</v>
      </c>
      <c r="P50" s="97">
        <v>1</v>
      </c>
      <c r="Q50" s="97">
        <v>0.11</v>
      </c>
      <c r="R50" s="97">
        <f>R46</f>
        <v>1.1581999999999999</v>
      </c>
      <c r="S50" s="101">
        <v>0</v>
      </c>
      <c r="T50" s="168">
        <f t="shared" si="3"/>
        <v>4.5000000000000003E-5</v>
      </c>
      <c r="U50" s="97">
        <v>0</v>
      </c>
      <c r="V50" s="101">
        <f t="shared" si="4"/>
        <v>0</v>
      </c>
      <c r="W50" s="133">
        <f t="shared" si="5"/>
        <v>5.612023176739347E-9</v>
      </c>
      <c r="X50" s="102">
        <v>2</v>
      </c>
      <c r="Y50" s="101" t="str">
        <f t="shared" si="15"/>
        <v>0.000000011</v>
      </c>
      <c r="Z50" s="131">
        <f t="shared" ref="Z50" si="89">IF(OR(MPE_X="-",Y50="-"),"-",3*Uk_X/MPE_X)</f>
        <v>6.5999999999999995E-6</v>
      </c>
      <c r="AA50" s="108">
        <f t="shared" ref="AA50" si="90">A50</f>
        <v>1E-4</v>
      </c>
      <c r="AB50" s="140"/>
      <c r="AC50" s="112">
        <f t="shared" ref="AC50" si="91">SUM(AD50:AH50)</f>
        <v>1</v>
      </c>
      <c r="AD50" s="112">
        <f t="shared" ref="AD50" si="92">D50^2/$W50^2</f>
        <v>0.33633367189095248</v>
      </c>
      <c r="AE50" s="112">
        <f t="shared" ref="AE50" si="93">E50^2/$W50^2</f>
        <v>0</v>
      </c>
      <c r="AF50" s="112">
        <f t="shared" si="11"/>
        <v>0.66366632810904747</v>
      </c>
      <c r="AG50" s="112">
        <f t="shared" si="12"/>
        <v>0</v>
      </c>
      <c r="AH50" s="112">
        <f t="shared" si="13"/>
        <v>0</v>
      </c>
      <c r="AI50" s="66"/>
      <c r="AJ50" s="66"/>
      <c r="AK50" s="66"/>
    </row>
    <row r="51" spans="1:37" ht="17.100000000000001" customHeight="1" x14ac:dyDescent="0.25">
      <c r="A51" s="183">
        <v>1E-4</v>
      </c>
      <c r="B51" s="184">
        <f>VLOOKUP(Nom_X,'MPE Table'!$C$5:$AC$50,(HLOOKUP($A$5,'MPE Table'!$D$3:$AC$4,2,0)+1),0)</f>
        <v>5.0000000000000001E-3</v>
      </c>
      <c r="C51" s="98"/>
      <c r="D51" s="185">
        <f t="shared" si="0"/>
        <v>3.254652534547205E-9</v>
      </c>
      <c r="E51" s="97">
        <v>0</v>
      </c>
      <c r="F51" s="185">
        <f t="shared" si="1"/>
        <v>3.254652534547205E-9</v>
      </c>
      <c r="H51" s="184">
        <f t="shared" si="2"/>
        <v>0</v>
      </c>
      <c r="I51" s="97">
        <v>1</v>
      </c>
      <c r="J51" s="97">
        <v>1</v>
      </c>
      <c r="K51" s="97">
        <v>1</v>
      </c>
      <c r="L51" s="184">
        <f t="shared" si="14"/>
        <v>0</v>
      </c>
      <c r="M51" s="97">
        <v>8</v>
      </c>
      <c r="N51" s="97">
        <v>7.0000000000000007E-2</v>
      </c>
      <c r="O51" s="97">
        <v>0.2</v>
      </c>
      <c r="P51" s="97">
        <v>1</v>
      </c>
      <c r="Q51" s="97">
        <v>0.11</v>
      </c>
      <c r="R51" s="97">
        <f>R47</f>
        <v>1.2</v>
      </c>
      <c r="S51" s="184">
        <v>0</v>
      </c>
      <c r="T51" s="184">
        <f t="shared" si="3"/>
        <v>4.5000000000000003E-5</v>
      </c>
      <c r="U51" s="97">
        <v>0</v>
      </c>
      <c r="V51" s="184">
        <f t="shared" si="4"/>
        <v>0</v>
      </c>
      <c r="W51" s="184">
        <f t="shared" si="5"/>
        <v>3.254652534547205E-9</v>
      </c>
      <c r="X51" s="102">
        <v>2</v>
      </c>
      <c r="Y51" s="184" t="str">
        <f t="shared" si="15"/>
        <v>0.0000000065</v>
      </c>
      <c r="Z51" s="131">
        <f t="shared" si="6"/>
        <v>3.9000000000000008E-6</v>
      </c>
      <c r="AA51" s="186">
        <f t="shared" si="7"/>
        <v>1E-4</v>
      </c>
      <c r="AB51" s="140"/>
      <c r="AC51" s="112">
        <f t="shared" si="8"/>
        <v>1</v>
      </c>
      <c r="AD51" s="112">
        <f t="shared" si="9"/>
        <v>1</v>
      </c>
      <c r="AE51" s="112">
        <f t="shared" si="10"/>
        <v>0</v>
      </c>
      <c r="AF51" s="112">
        <f t="shared" ref="AF51" si="94">H51/$W51^2</f>
        <v>0</v>
      </c>
      <c r="AG51" s="112">
        <f t="shared" ref="AG51" si="95">L51^2/$W51^2</f>
        <v>0</v>
      </c>
      <c r="AH51" s="112">
        <f t="shared" ref="AH51" si="96">V51^2/$W51^2</f>
        <v>0</v>
      </c>
      <c r="AI51" s="66"/>
      <c r="AJ51" s="66"/>
      <c r="AK51" s="66"/>
    </row>
    <row r="52" spans="1:37" ht="17.100000000000001" customHeight="1" x14ac:dyDescent="0.25">
      <c r="A52" s="108">
        <v>5.0000000000000002E-5</v>
      </c>
      <c r="B52" s="168">
        <f>VLOOKUP(Nom_X,'MPE Table'!$C$5:$AC$50,(HLOOKUP($A$5,'MPE Table'!$D$3:$AC$4,2,0)+1),0)</f>
        <v>5.0000000000000001E-3</v>
      </c>
      <c r="C52" s="98"/>
      <c r="D52" s="106">
        <f t="shared" si="0"/>
        <v>1.6273262672736025E-9</v>
      </c>
      <c r="E52" s="97">
        <v>0</v>
      </c>
      <c r="F52" s="99">
        <f t="shared" si="1"/>
        <v>1.6273262672736025E-9</v>
      </c>
      <c r="G52" s="161"/>
      <c r="H52" s="100">
        <f t="shared" si="2"/>
        <v>0</v>
      </c>
      <c r="I52" s="97">
        <v>1</v>
      </c>
      <c r="J52" s="97">
        <v>1</v>
      </c>
      <c r="K52" s="97">
        <v>1</v>
      </c>
      <c r="L52" s="100">
        <f t="shared" si="14"/>
        <v>0</v>
      </c>
      <c r="M52" s="97">
        <v>8</v>
      </c>
      <c r="N52" s="97">
        <v>7.0000000000000007E-2</v>
      </c>
      <c r="O52" s="97">
        <v>0.2</v>
      </c>
      <c r="P52" s="97">
        <v>1</v>
      </c>
      <c r="Q52" s="97">
        <v>0.11</v>
      </c>
      <c r="R52" s="97">
        <v>1.2</v>
      </c>
      <c r="S52" s="101">
        <v>0</v>
      </c>
      <c r="T52" s="168">
        <f t="shared" si="3"/>
        <v>4.5000000000000003E-5</v>
      </c>
      <c r="U52" s="97">
        <v>0</v>
      </c>
      <c r="V52" s="101">
        <f t="shared" si="4"/>
        <v>0</v>
      </c>
      <c r="W52" s="133">
        <f t="shared" si="5"/>
        <v>1.6273262672736025E-9</v>
      </c>
      <c r="X52" s="102">
        <v>2</v>
      </c>
      <c r="Y52" s="101" t="str">
        <f t="shared" si="15"/>
        <v>0.0000000033</v>
      </c>
      <c r="Z52" s="131">
        <f t="shared" si="6"/>
        <v>1.9800000000000001E-6</v>
      </c>
      <c r="AA52" s="108">
        <f t="shared" si="7"/>
        <v>5.0000000000000002E-5</v>
      </c>
      <c r="AC52" s="112">
        <f t="shared" si="8"/>
        <v>1</v>
      </c>
      <c r="AD52" s="112">
        <f t="shared" si="9"/>
        <v>1</v>
      </c>
      <c r="AE52" s="112">
        <f t="shared" si="10"/>
        <v>0</v>
      </c>
      <c r="AF52" s="112">
        <f>H52/$W52^2</f>
        <v>0</v>
      </c>
      <c r="AG52" s="112">
        <f>L52^2/$W52^2</f>
        <v>0</v>
      </c>
      <c r="AH52" s="112">
        <f>V52^2/$W52^2</f>
        <v>0</v>
      </c>
      <c r="AI52" s="66"/>
      <c r="AJ52" s="66"/>
      <c r="AK52" s="66"/>
    </row>
    <row r="53" spans="1:37" x14ac:dyDescent="0.25">
      <c r="E53"/>
      <c r="N53" s="66"/>
      <c r="O53" s="109"/>
      <c r="T53" s="132"/>
      <c r="U53" s="132"/>
      <c r="AC53" s="66"/>
      <c r="AD53" s="71"/>
    </row>
    <row r="54" spans="1:37" x14ac:dyDescent="0.25">
      <c r="N54" s="66"/>
      <c r="O54" s="109"/>
      <c r="T54" s="132"/>
      <c r="U54" s="132"/>
      <c r="AC54" s="66"/>
      <c r="AD54" s="71"/>
    </row>
    <row r="55" spans="1:37" x14ac:dyDescent="0.25">
      <c r="N55" s="66"/>
      <c r="O55" s="109"/>
      <c r="T55" s="132"/>
      <c r="U55" s="132"/>
      <c r="AC55" s="66"/>
      <c r="AD55" s="71"/>
    </row>
    <row r="56" spans="1:37" x14ac:dyDescent="0.25">
      <c r="N56" s="66"/>
      <c r="O56" s="109"/>
      <c r="T56" s="132"/>
      <c r="U56" s="132"/>
      <c r="AC56" s="66"/>
      <c r="AD56" s="71"/>
    </row>
    <row r="57" spans="1:37" x14ac:dyDescent="0.25">
      <c r="N57" s="66"/>
      <c r="O57" s="109"/>
      <c r="T57" s="132"/>
      <c r="U57" s="132"/>
      <c r="AC57" s="66"/>
      <c r="AD57" s="71"/>
    </row>
    <row r="58" spans="1:37" x14ac:dyDescent="0.25">
      <c r="N58" s="66"/>
      <c r="O58" s="109"/>
      <c r="T58" s="132"/>
      <c r="U58" s="132"/>
      <c r="AC58" s="66"/>
      <c r="AD58" s="71"/>
    </row>
    <row r="59" spans="1:37" x14ac:dyDescent="0.25">
      <c r="N59" s="66"/>
      <c r="O59" s="109"/>
      <c r="T59" s="132"/>
      <c r="U59" s="132"/>
      <c r="AC59" s="66"/>
      <c r="AD59" s="71"/>
    </row>
    <row r="60" spans="1:37" x14ac:dyDescent="0.25">
      <c r="N60" s="66"/>
      <c r="T60" s="132"/>
      <c r="U60" s="132"/>
      <c r="AC60" s="66"/>
      <c r="AD60" s="71"/>
    </row>
    <row r="61" spans="1:37" x14ac:dyDescent="0.25">
      <c r="N61" s="66"/>
      <c r="T61" s="132"/>
      <c r="U61" s="132"/>
      <c r="AC61" s="66"/>
      <c r="AD61" s="71"/>
    </row>
    <row r="62" spans="1:37" x14ac:dyDescent="0.25">
      <c r="N62" s="66"/>
      <c r="T62" s="132"/>
      <c r="U62" s="132"/>
      <c r="AC62" s="66"/>
      <c r="AD62" s="71"/>
    </row>
    <row r="63" spans="1:37" x14ac:dyDescent="0.25">
      <c r="N63" s="66"/>
      <c r="T63" s="132"/>
      <c r="U63" s="132"/>
      <c r="AC63" s="66"/>
      <c r="AD63" s="71"/>
    </row>
    <row r="64" spans="1:37" x14ac:dyDescent="0.25">
      <c r="N64" s="66"/>
      <c r="T64" s="132"/>
      <c r="U64" s="132"/>
      <c r="AC64" s="66"/>
      <c r="AD64" s="71"/>
    </row>
    <row r="65" spans="14:30" x14ac:dyDescent="0.25">
      <c r="N65" s="66"/>
      <c r="T65" s="132"/>
      <c r="U65" s="132"/>
      <c r="AC65" s="66"/>
      <c r="AD65" s="71"/>
    </row>
    <row r="66" spans="14:30" x14ac:dyDescent="0.25">
      <c r="N66" s="66"/>
      <c r="T66" s="132"/>
      <c r="U66" s="132"/>
      <c r="AC66" s="66"/>
      <c r="AD66" s="71"/>
    </row>
    <row r="67" spans="14:30" x14ac:dyDescent="0.25">
      <c r="N67" s="66"/>
      <c r="T67" s="132"/>
      <c r="U67" s="132"/>
      <c r="AC67" s="66"/>
      <c r="AD67" s="71"/>
    </row>
    <row r="68" spans="14:30" x14ac:dyDescent="0.25">
      <c r="N68" s="66"/>
      <c r="T68" s="132"/>
      <c r="U68" s="132"/>
      <c r="AC68" s="66"/>
      <c r="AD68" s="71"/>
    </row>
    <row r="69" spans="14:30" x14ac:dyDescent="0.25">
      <c r="N69" s="66"/>
      <c r="T69" s="132"/>
      <c r="U69" s="132"/>
      <c r="V69" s="66"/>
      <c r="W69" s="66"/>
      <c r="X69" s="66"/>
      <c r="AC69" s="66"/>
      <c r="AD69" s="71"/>
    </row>
    <row r="70" spans="14:30" x14ac:dyDescent="0.25">
      <c r="N70" s="66"/>
      <c r="T70" s="132"/>
      <c r="U70" s="132"/>
      <c r="V70" s="66"/>
      <c r="W70" s="66"/>
      <c r="X70" s="110"/>
      <c r="AC70" s="66"/>
      <c r="AD70" s="71"/>
    </row>
    <row r="71" spans="14:30" x14ac:dyDescent="0.25">
      <c r="N71" s="66"/>
      <c r="T71" s="132"/>
      <c r="U71" s="132"/>
      <c r="V71" s="66"/>
      <c r="W71" s="66"/>
      <c r="X71" s="66"/>
      <c r="AC71" s="66"/>
      <c r="AD71" s="71"/>
    </row>
    <row r="72" spans="14:30" x14ac:dyDescent="0.25">
      <c r="N72" s="66"/>
      <c r="T72" s="132"/>
      <c r="U72" s="132"/>
      <c r="V72" s="66"/>
      <c r="W72" s="66"/>
      <c r="X72" s="110"/>
      <c r="AC72" s="66"/>
      <c r="AD72" s="71"/>
    </row>
    <row r="73" spans="14:30" x14ac:dyDescent="0.25">
      <c r="V73" s="66"/>
      <c r="W73" s="66"/>
      <c r="X73" s="66"/>
    </row>
    <row r="74" spans="14:30" x14ac:dyDescent="0.25">
      <c r="V74" s="66"/>
      <c r="W74" s="66"/>
      <c r="X74" s="66"/>
    </row>
    <row r="75" spans="14:30" x14ac:dyDescent="0.25">
      <c r="V75" s="66"/>
      <c r="W75" s="66"/>
      <c r="X75" s="66"/>
      <c r="Y75" s="66"/>
      <c r="Z75" s="66"/>
      <c r="AA75" s="66"/>
      <c r="AB75" s="66"/>
    </row>
    <row r="76" spans="14:30" x14ac:dyDescent="0.25">
      <c r="V76" s="66"/>
      <c r="W76" s="66"/>
      <c r="X76" s="66"/>
      <c r="Y76" s="66"/>
      <c r="Z76" s="66"/>
      <c r="AA76" s="66"/>
      <c r="AB76" s="66"/>
    </row>
    <row r="77" spans="14:30" x14ac:dyDescent="0.25">
      <c r="V77" s="66"/>
      <c r="W77" s="66"/>
      <c r="X77" s="66"/>
      <c r="Y77" s="66"/>
      <c r="Z77" s="66"/>
      <c r="AA77" s="66"/>
      <c r="AB77" s="66"/>
    </row>
    <row r="78" spans="14:30" x14ac:dyDescent="0.25">
      <c r="V78" s="66"/>
      <c r="W78" s="66"/>
      <c r="X78" s="66"/>
      <c r="Y78" s="66"/>
      <c r="Z78" s="66"/>
      <c r="AA78" s="66"/>
      <c r="AB78" s="66"/>
    </row>
    <row r="79" spans="14:30" x14ac:dyDescent="0.25">
      <c r="V79" s="66"/>
      <c r="W79" s="66"/>
      <c r="X79" s="66"/>
      <c r="Y79" s="66"/>
      <c r="Z79" s="66"/>
      <c r="AA79" s="66"/>
      <c r="AB79" s="66"/>
    </row>
    <row r="80" spans="14:30" x14ac:dyDescent="0.25">
      <c r="V80" s="66"/>
      <c r="W80" s="66"/>
      <c r="X80" s="66"/>
      <c r="Y80" s="66"/>
      <c r="Z80" s="66"/>
      <c r="AA80" s="66"/>
      <c r="AB80" s="66"/>
    </row>
    <row r="81" spans="5:28" x14ac:dyDescent="0.25">
      <c r="V81" s="66"/>
      <c r="W81" s="66"/>
      <c r="X81" s="66"/>
      <c r="Y81" s="66"/>
      <c r="Z81" s="66"/>
      <c r="AA81" s="66"/>
      <c r="AB81" s="66"/>
    </row>
    <row r="82" spans="5:28" x14ac:dyDescent="0.25">
      <c r="V82" s="66"/>
      <c r="W82" s="66"/>
      <c r="X82" s="66"/>
      <c r="Y82" s="66"/>
      <c r="Z82" s="66"/>
      <c r="AA82" s="66"/>
      <c r="AB82" s="66"/>
    </row>
    <row r="83" spans="5:28" x14ac:dyDescent="0.25">
      <c r="V83" s="66"/>
      <c r="W83" s="66"/>
      <c r="X83" s="66"/>
      <c r="Y83" s="66"/>
      <c r="Z83" s="66"/>
      <c r="AA83" s="66"/>
      <c r="AB83" s="66"/>
    </row>
    <row r="84" spans="5:28" x14ac:dyDescent="0.25">
      <c r="E84" s="111" t="s">
        <v>52</v>
      </c>
      <c r="V84" s="66"/>
      <c r="W84" s="66"/>
      <c r="X84" s="66"/>
      <c r="Y84" s="66"/>
      <c r="Z84" s="66"/>
      <c r="AA84" s="66"/>
      <c r="AB84" s="66"/>
    </row>
    <row r="85" spans="5:28" x14ac:dyDescent="0.25">
      <c r="V85" s="66"/>
      <c r="W85" s="66"/>
      <c r="X85" s="66"/>
    </row>
    <row r="86" spans="5:28" x14ac:dyDescent="0.25">
      <c r="V86" s="66"/>
      <c r="W86" s="66"/>
      <c r="X86" s="66"/>
    </row>
    <row r="87" spans="5:28" x14ac:dyDescent="0.25">
      <c r="V87" s="66"/>
      <c r="W87" s="66"/>
      <c r="X87" s="66"/>
    </row>
  </sheetData>
  <sheetProtection password="FFED" sheet="1" formatCells="0" formatColumns="0" formatRows="0"/>
  <mergeCells count="11">
    <mergeCell ref="AB1:AF1"/>
    <mergeCell ref="AN1:BJ1"/>
    <mergeCell ref="AQ2:AY2"/>
    <mergeCell ref="AZ2:BI2"/>
    <mergeCell ref="AC6:AH6"/>
    <mergeCell ref="BK2:BO2"/>
    <mergeCell ref="A5:B5"/>
    <mergeCell ref="A6:B6"/>
    <mergeCell ref="A4:B4"/>
    <mergeCell ref="H6:AA6"/>
    <mergeCell ref="D6:F6"/>
  </mergeCells>
  <conditionalFormatting sqref="Z8:Z9 Z52 Z17:Z19 Z12:Z14 Z22:Z24 Z27:Z29 Z42:Z44 Z37:Z39 Z32:Z34">
    <cfRule type="cellIs" dxfId="117" priority="43" operator="equal">
      <formula>"-"</formula>
    </cfRule>
    <cfRule type="expression" dxfId="116" priority="44">
      <formula>$Z8&gt;1</formula>
    </cfRule>
  </conditionalFormatting>
  <conditionalFormatting sqref="Z47:Z49">
    <cfRule type="cellIs" dxfId="115" priority="41" operator="equal">
      <formula>"-"</formula>
    </cfRule>
    <cfRule type="expression" dxfId="114" priority="42">
      <formula>$Z47&gt;1</formula>
    </cfRule>
  </conditionalFormatting>
  <conditionalFormatting sqref="Z15">
    <cfRule type="cellIs" dxfId="113" priority="35" operator="equal">
      <formula>"-"</formula>
    </cfRule>
    <cfRule type="expression" dxfId="112" priority="36">
      <formula>$Z15&gt;1</formula>
    </cfRule>
  </conditionalFormatting>
  <conditionalFormatting sqref="Z10">
    <cfRule type="cellIs" dxfId="111" priority="33" operator="equal">
      <formula>"-"</formula>
    </cfRule>
    <cfRule type="expression" dxfId="110" priority="34">
      <formula>$Z10&gt;1</formula>
    </cfRule>
  </conditionalFormatting>
  <conditionalFormatting sqref="Z20">
    <cfRule type="cellIs" dxfId="109" priority="31" operator="equal">
      <formula>"-"</formula>
    </cfRule>
    <cfRule type="expression" dxfId="108" priority="32">
      <formula>$Z20&gt;1</formula>
    </cfRule>
  </conditionalFormatting>
  <conditionalFormatting sqref="Z25">
    <cfRule type="cellIs" dxfId="107" priority="29" operator="equal">
      <formula>"-"</formula>
    </cfRule>
    <cfRule type="expression" dxfId="106" priority="30">
      <formula>$Z25&gt;1</formula>
    </cfRule>
  </conditionalFormatting>
  <conditionalFormatting sqref="Z50">
    <cfRule type="cellIs" dxfId="105" priority="27" operator="equal">
      <formula>"-"</formula>
    </cfRule>
    <cfRule type="expression" dxfId="104" priority="28">
      <formula>$Z50&gt;1</formula>
    </cfRule>
  </conditionalFormatting>
  <conditionalFormatting sqref="Z45">
    <cfRule type="cellIs" dxfId="103" priority="25" operator="equal">
      <formula>"-"</formula>
    </cfRule>
    <cfRule type="expression" dxfId="102" priority="26">
      <formula>$Z45&gt;1</formula>
    </cfRule>
  </conditionalFormatting>
  <conditionalFormatting sqref="Z40">
    <cfRule type="cellIs" dxfId="101" priority="23" operator="equal">
      <formula>"-"</formula>
    </cfRule>
    <cfRule type="expression" dxfId="100" priority="24">
      <formula>$Z40&gt;1</formula>
    </cfRule>
  </conditionalFormatting>
  <conditionalFormatting sqref="Z35">
    <cfRule type="cellIs" dxfId="99" priority="21" operator="equal">
      <formula>"-"</formula>
    </cfRule>
    <cfRule type="expression" dxfId="98" priority="22">
      <formula>$Z35&gt;1</formula>
    </cfRule>
  </conditionalFormatting>
  <conditionalFormatting sqref="Z30">
    <cfRule type="cellIs" dxfId="97" priority="19" operator="equal">
      <formula>"-"</formula>
    </cfRule>
    <cfRule type="expression" dxfId="96" priority="20">
      <formula>$Z30&gt;1</formula>
    </cfRule>
  </conditionalFormatting>
  <conditionalFormatting sqref="Z11">
    <cfRule type="cellIs" dxfId="95" priority="17" operator="equal">
      <formula>"-"</formula>
    </cfRule>
    <cfRule type="expression" dxfId="94" priority="18">
      <formula>$Z11&gt;1</formula>
    </cfRule>
  </conditionalFormatting>
  <conditionalFormatting sqref="Z16">
    <cfRule type="cellIs" dxfId="93" priority="15" operator="equal">
      <formula>"-"</formula>
    </cfRule>
    <cfRule type="expression" dxfId="92" priority="16">
      <formula>$Z16&gt;1</formula>
    </cfRule>
  </conditionalFormatting>
  <conditionalFormatting sqref="Z21">
    <cfRule type="cellIs" dxfId="91" priority="13" operator="equal">
      <formula>"-"</formula>
    </cfRule>
    <cfRule type="expression" dxfId="90" priority="14">
      <formula>$Z21&gt;1</formula>
    </cfRule>
  </conditionalFormatting>
  <conditionalFormatting sqref="Z26">
    <cfRule type="cellIs" dxfId="89" priority="11" operator="equal">
      <formula>"-"</formula>
    </cfRule>
    <cfRule type="expression" dxfId="88" priority="12">
      <formula>$Z26&gt;1</formula>
    </cfRule>
  </conditionalFormatting>
  <conditionalFormatting sqref="Z31">
    <cfRule type="cellIs" dxfId="87" priority="9" operator="equal">
      <formula>"-"</formula>
    </cfRule>
    <cfRule type="expression" dxfId="86" priority="10">
      <formula>$Z31&gt;1</formula>
    </cfRule>
  </conditionalFormatting>
  <conditionalFormatting sqref="Z36">
    <cfRule type="cellIs" dxfId="85" priority="7" operator="equal">
      <formula>"-"</formula>
    </cfRule>
    <cfRule type="expression" dxfId="84" priority="8">
      <formula>$Z36&gt;1</formula>
    </cfRule>
  </conditionalFormatting>
  <conditionalFormatting sqref="Z41">
    <cfRule type="cellIs" dxfId="83" priority="5" operator="equal">
      <formula>"-"</formula>
    </cfRule>
    <cfRule type="expression" dxfId="82" priority="6">
      <formula>$Z41&gt;1</formula>
    </cfRule>
  </conditionalFormatting>
  <conditionalFormatting sqref="Z46">
    <cfRule type="cellIs" dxfId="81" priority="3" operator="equal">
      <formula>"-"</formula>
    </cfRule>
    <cfRule type="expression" dxfId="80" priority="4">
      <formula>$Z46&gt;1</formula>
    </cfRule>
  </conditionalFormatting>
  <conditionalFormatting sqref="Z51">
    <cfRule type="cellIs" dxfId="79" priority="1" operator="equal">
      <formula>"-"</formula>
    </cfRule>
    <cfRule type="expression" dxfId="78" priority="2">
      <formula>$Z51&gt;1</formula>
    </cfRule>
  </conditionalFormatting>
  <printOptions horizontalCentered="1" verticalCentered="1" headings="1"/>
  <pageMargins left="0.25" right="0.25" top="0.75" bottom="0.5" header="0.3" footer="0.3"/>
  <pageSetup paperSize="5" scale="54" orientation="landscape" r:id="rId1"/>
  <headerFooter>
    <oddHeader>&amp;L&amp;"Times New Roman,Bold"&amp;12Figure 8: 5221 Uncertainty Calculations Page</oddHeader>
  </headerFooter>
  <drawing r:id="rId2"/>
  <legacyDrawing r:id="rId3"/>
  <oleObjects>
    <mc:AlternateContent xmlns:mc="http://schemas.openxmlformats.org/markup-compatibility/2006">
      <mc:Choice Requires="x14">
        <oleObject progId="Equation.3" shapeId="23553" r:id="rId4">
          <objectPr defaultSize="0" autoPict="0" r:id="rId5">
            <anchor moveWithCells="1" sizeWithCells="1">
              <from>
                <xdr:col>3</xdr:col>
                <xdr:colOff>171450</xdr:colOff>
                <xdr:row>58</xdr:row>
                <xdr:rowOff>123825</xdr:rowOff>
              </from>
              <to>
                <xdr:col>5</xdr:col>
                <xdr:colOff>190500</xdr:colOff>
                <xdr:row>64</xdr:row>
                <xdr:rowOff>76200</xdr:rowOff>
              </to>
            </anchor>
          </objectPr>
        </oleObject>
      </mc:Choice>
      <mc:Fallback>
        <oleObject progId="Equation.3" shapeId="23553" r:id="rId4"/>
      </mc:Fallback>
    </mc:AlternateContent>
    <mc:AlternateContent xmlns:mc="http://schemas.openxmlformats.org/markup-compatibility/2006">
      <mc:Choice Requires="x14">
        <oleObject progId="Equation.3" shapeId="23554" r:id="rId6">
          <objectPr defaultSize="0" autoPict="0" r:id="rId7">
            <anchor moveWithCells="1" sizeWithCells="1">
              <from>
                <xdr:col>3</xdr:col>
                <xdr:colOff>628650</xdr:colOff>
                <xdr:row>71</xdr:row>
                <xdr:rowOff>123825</xdr:rowOff>
              </from>
              <to>
                <xdr:col>8</xdr:col>
                <xdr:colOff>762000</xdr:colOff>
                <xdr:row>75</xdr:row>
                <xdr:rowOff>180975</xdr:rowOff>
              </to>
            </anchor>
          </objectPr>
        </oleObject>
      </mc:Choice>
      <mc:Fallback>
        <oleObject progId="Equation.3" shapeId="23554" r:id="rId6"/>
      </mc:Fallback>
    </mc:AlternateContent>
    <mc:AlternateContent xmlns:mc="http://schemas.openxmlformats.org/markup-compatibility/2006">
      <mc:Choice Requires="x14">
        <oleObject progId="Equation.3" shapeId="23555" r:id="rId8">
          <objectPr defaultSize="0" autoPict="0" r:id="rId9">
            <anchor moveWithCells="1" sizeWithCells="1">
              <from>
                <xdr:col>5</xdr:col>
                <xdr:colOff>323850</xdr:colOff>
                <xdr:row>66</xdr:row>
                <xdr:rowOff>76200</xdr:rowOff>
              </from>
              <to>
                <xdr:col>7</xdr:col>
                <xdr:colOff>161925</xdr:colOff>
                <xdr:row>68</xdr:row>
                <xdr:rowOff>76200</xdr:rowOff>
              </to>
            </anchor>
          </objectPr>
        </oleObject>
      </mc:Choice>
      <mc:Fallback>
        <oleObject progId="Equation.3" shapeId="23555" r:id="rId8"/>
      </mc:Fallback>
    </mc:AlternateContent>
    <mc:AlternateContent xmlns:mc="http://schemas.openxmlformats.org/markup-compatibility/2006">
      <mc:Choice Requires="x14">
        <oleObject progId="Equation.3" shapeId="23556" r:id="rId10">
          <objectPr defaultSize="0" autoPict="0" r:id="rId11">
            <anchor moveWithCells="1" sizeWithCells="1">
              <from>
                <xdr:col>7</xdr:col>
                <xdr:colOff>695325</xdr:colOff>
                <xdr:row>66</xdr:row>
                <xdr:rowOff>85725</xdr:rowOff>
              </from>
              <to>
                <xdr:col>9</xdr:col>
                <xdr:colOff>876300</xdr:colOff>
                <xdr:row>68</xdr:row>
                <xdr:rowOff>171450</xdr:rowOff>
              </to>
            </anchor>
          </objectPr>
        </oleObject>
      </mc:Choice>
      <mc:Fallback>
        <oleObject progId="Equation.3" shapeId="23556" r:id="rId10"/>
      </mc:Fallback>
    </mc:AlternateContent>
    <mc:AlternateContent xmlns:mc="http://schemas.openxmlformats.org/markup-compatibility/2006">
      <mc:Choice Requires="x14">
        <oleObject progId="Equation.3" shapeId="23557" r:id="rId12">
          <objectPr defaultSize="0" autoPict="0" r:id="rId13">
            <anchor moveWithCells="1" sizeWithCells="1">
              <from>
                <xdr:col>9</xdr:col>
                <xdr:colOff>361950</xdr:colOff>
                <xdr:row>69</xdr:row>
                <xdr:rowOff>142875</xdr:rowOff>
              </from>
              <to>
                <xdr:col>11</xdr:col>
                <xdr:colOff>38100</xdr:colOff>
                <xdr:row>72</xdr:row>
                <xdr:rowOff>57150</xdr:rowOff>
              </to>
            </anchor>
          </objectPr>
        </oleObject>
      </mc:Choice>
      <mc:Fallback>
        <oleObject progId="Equation.3" shapeId="23557" r:id="rId12"/>
      </mc:Fallback>
    </mc:AlternateContent>
    <mc:AlternateContent xmlns:mc="http://schemas.openxmlformats.org/markup-compatibility/2006">
      <mc:Choice Requires="x14">
        <oleObject progId="Equation.3" shapeId="23558" r:id="rId14">
          <objectPr defaultSize="0" autoPict="0" r:id="rId15">
            <anchor moveWithCells="1" sizeWithCells="1">
              <from>
                <xdr:col>3</xdr:col>
                <xdr:colOff>152400</xdr:colOff>
                <xdr:row>53</xdr:row>
                <xdr:rowOff>76200</xdr:rowOff>
              </from>
              <to>
                <xdr:col>13</xdr:col>
                <xdr:colOff>161925</xdr:colOff>
                <xdr:row>58</xdr:row>
                <xdr:rowOff>76200</xdr:rowOff>
              </to>
            </anchor>
          </objectPr>
        </oleObject>
      </mc:Choice>
      <mc:Fallback>
        <oleObject progId="Equation.3" shapeId="23558" r:id="rId14"/>
      </mc:Fallback>
    </mc:AlternateContent>
    <mc:AlternateContent xmlns:mc="http://schemas.openxmlformats.org/markup-compatibility/2006">
      <mc:Choice Requires="x14">
        <oleObject progId="Equation.3" shapeId="23559" r:id="rId16">
          <objectPr defaultSize="0" autoPict="0" r:id="rId17">
            <anchor moveWithCells="1">
              <from>
                <xdr:col>7</xdr:col>
                <xdr:colOff>581025</xdr:colOff>
                <xdr:row>58</xdr:row>
                <xdr:rowOff>171450</xdr:rowOff>
              </from>
              <to>
                <xdr:col>11</xdr:col>
                <xdr:colOff>133350</xdr:colOff>
                <xdr:row>62</xdr:row>
                <xdr:rowOff>76200</xdr:rowOff>
              </to>
            </anchor>
          </objectPr>
        </oleObject>
      </mc:Choice>
      <mc:Fallback>
        <oleObject progId="Equation.3" shapeId="23559" r:id="rId16"/>
      </mc:Fallback>
    </mc:AlternateContent>
    <mc:AlternateContent xmlns:mc="http://schemas.openxmlformats.org/markup-compatibility/2006">
      <mc:Choice Requires="x14">
        <oleObject progId="Equation.3" shapeId="23560" r:id="rId18">
          <objectPr defaultSize="0" autoPict="0" r:id="rId19">
            <anchor moveWithCells="1">
              <from>
                <xdr:col>3</xdr:col>
                <xdr:colOff>714375</xdr:colOff>
                <xdr:row>79</xdr:row>
                <xdr:rowOff>38100</xdr:rowOff>
              </from>
              <to>
                <xdr:col>7</xdr:col>
                <xdr:colOff>247650</xdr:colOff>
                <xdr:row>82</xdr:row>
                <xdr:rowOff>47625</xdr:rowOff>
              </to>
            </anchor>
          </objectPr>
        </oleObject>
      </mc:Choice>
      <mc:Fallback>
        <oleObject progId="Equation.3" shapeId="23560" r:id="rId18"/>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promptTitle="Select the MPE Classification" prompt="Select the MPE/tolerance classification from the list." xr:uid="{459F2094-4790-43A1-A1FB-EBEB1915F0DF}">
          <x14:formula1>
            <xm:f>'MPE Table'!$D$3:$AC$3</xm:f>
          </x14:formula1>
          <xm:sqref>A5:B5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96513-1B03-4341-963A-711DF04AA4C3}">
  <dimension ref="A1:BP87"/>
  <sheetViews>
    <sheetView zoomScaleNormal="100" workbookViewId="0"/>
  </sheetViews>
  <sheetFormatPr defaultRowHeight="15" x14ac:dyDescent="0.25"/>
  <cols>
    <col min="1" max="1" width="9.7109375" style="66" customWidth="1"/>
    <col min="2" max="2" width="12.5703125" style="66" customWidth="1"/>
    <col min="3" max="3" width="1.7109375" style="66" customWidth="1"/>
    <col min="4" max="4" width="13.7109375" style="66" customWidth="1"/>
    <col min="5" max="5" width="11.28515625" style="66" customWidth="1"/>
    <col min="6" max="6" width="11.42578125" style="66" customWidth="1"/>
    <col min="7" max="7" width="12.28515625" style="66" customWidth="1"/>
    <col min="8" max="8" width="14.85546875" style="132" customWidth="1"/>
    <col min="9" max="9" width="13.7109375" style="132" customWidth="1"/>
    <col min="10" max="10" width="13.7109375" style="66" customWidth="1"/>
    <col min="11" max="12" width="12.7109375" style="66" customWidth="1"/>
    <col min="13" max="13" width="11.7109375" style="66" customWidth="1"/>
    <col min="14" max="14" width="10.5703125" style="75" customWidth="1"/>
    <col min="15" max="18" width="9.7109375" style="66" customWidth="1"/>
    <col min="19" max="19" width="12.7109375" style="66" customWidth="1"/>
    <col min="20" max="20" width="13.140625" style="66" customWidth="1"/>
    <col min="21" max="21" width="12.140625" style="66" customWidth="1"/>
    <col min="22" max="22" width="12.28515625" style="132" customWidth="1"/>
    <col min="23" max="23" width="12.85546875" style="132" customWidth="1"/>
    <col min="24" max="24" width="12.28515625" style="132" customWidth="1"/>
    <col min="25" max="25" width="15.42578125" style="132" bestFit="1" customWidth="1"/>
    <col min="26" max="26" width="12.5703125" style="132" bestFit="1" customWidth="1"/>
    <col min="27" max="27" width="14" style="132" bestFit="1" customWidth="1"/>
    <col min="28" max="28" width="10" style="132" customWidth="1"/>
    <col min="29" max="29" width="11.7109375" style="132" customWidth="1"/>
    <col min="30" max="30" width="10.85546875" style="132" customWidth="1"/>
    <col min="31" max="31" width="12.7109375" style="132" customWidth="1"/>
    <col min="32" max="32" width="11.140625" style="132" customWidth="1"/>
    <col min="33" max="33" width="11.28515625" style="132" customWidth="1"/>
    <col min="34" max="34" width="13.85546875" style="132" bestFit="1" customWidth="1"/>
    <col min="35" max="35" width="13.42578125" style="132" customWidth="1"/>
    <col min="36" max="36" width="14.42578125" style="132" customWidth="1"/>
    <col min="37" max="37" width="13.140625" style="132" customWidth="1"/>
    <col min="38" max="43" width="9.140625" style="66" customWidth="1"/>
    <col min="44" max="51" width="9.140625" style="66"/>
    <col min="52" max="52" width="11.5703125" style="66" bestFit="1" customWidth="1"/>
    <col min="53" max="16384" width="9.140625" style="66"/>
  </cols>
  <sheetData>
    <row r="1" spans="1:68" ht="97.5" customHeight="1" thickTop="1" thickBot="1" x14ac:dyDescent="0.4">
      <c r="A1" s="63" t="s">
        <v>10</v>
      </c>
      <c r="B1" s="63" t="s">
        <v>44</v>
      </c>
      <c r="C1" s="128"/>
      <c r="D1" s="63" t="s">
        <v>12</v>
      </c>
      <c r="E1" s="63" t="s">
        <v>31</v>
      </c>
      <c r="F1" s="63" t="s">
        <v>13</v>
      </c>
      <c r="G1" s="63" t="s">
        <v>14</v>
      </c>
      <c r="H1" s="63" t="s">
        <v>15</v>
      </c>
      <c r="I1" s="63" t="s">
        <v>16</v>
      </c>
      <c r="J1" s="64" t="s">
        <v>9</v>
      </c>
      <c r="K1" s="64" t="s">
        <v>57</v>
      </c>
      <c r="L1" s="64" t="str">
        <f>CONCATENATE("Uncertainty due to u(CCE) of Restraint
(10 % @ 
"&amp;U3&amp;" °C)")</f>
        <v>Uncertainty due to u(CCE) of Restraint
(10 % @ 
2.17 °C)</v>
      </c>
      <c r="M1" s="65" t="s">
        <v>0</v>
      </c>
      <c r="N1" s="65" t="s">
        <v>58</v>
      </c>
      <c r="O1" s="65" t="s">
        <v>59</v>
      </c>
      <c r="P1" s="65" t="s">
        <v>60</v>
      </c>
      <c r="Q1" s="65" t="s">
        <v>61</v>
      </c>
      <c r="R1" s="76"/>
      <c r="S1" s="65" t="s">
        <v>1</v>
      </c>
      <c r="T1" s="65" t="s">
        <v>62</v>
      </c>
      <c r="U1" s="65" t="s">
        <v>5</v>
      </c>
      <c r="V1" s="65" t="s">
        <v>67</v>
      </c>
      <c r="W1"/>
      <c r="X1" s="64" t="s">
        <v>174</v>
      </c>
      <c r="AA1" s="66"/>
      <c r="AB1" s="207"/>
      <c r="AC1" s="207"/>
      <c r="AD1" s="207"/>
      <c r="AE1" s="207"/>
      <c r="AF1" s="207"/>
      <c r="AN1" s="208" t="s">
        <v>17</v>
      </c>
      <c r="AO1" s="209"/>
      <c r="AP1" s="209"/>
      <c r="AQ1" s="209"/>
      <c r="AR1" s="209"/>
      <c r="AS1" s="209"/>
      <c r="AT1" s="209"/>
      <c r="AU1" s="209"/>
      <c r="AV1" s="209"/>
      <c r="AW1" s="209"/>
      <c r="AX1" s="209"/>
      <c r="AY1" s="209"/>
      <c r="AZ1" s="209"/>
      <c r="BA1" s="209"/>
      <c r="BB1" s="209"/>
      <c r="BC1" s="209"/>
      <c r="BD1" s="209"/>
      <c r="BE1" s="209"/>
      <c r="BF1" s="209"/>
      <c r="BG1" s="209"/>
      <c r="BH1" s="209"/>
      <c r="BI1" s="209"/>
      <c r="BJ1" s="210"/>
      <c r="BK1" s="2"/>
      <c r="BL1" s="2"/>
      <c r="BM1" s="2"/>
      <c r="BN1" s="2"/>
      <c r="BO1" s="2"/>
      <c r="BP1" s="2"/>
    </row>
    <row r="2" spans="1:68" ht="16.5" thickTop="1" x14ac:dyDescent="0.25">
      <c r="A2" s="67" t="s">
        <v>55</v>
      </c>
      <c r="B2" s="67" t="s">
        <v>45</v>
      </c>
      <c r="C2" s="128"/>
      <c r="D2" s="68" t="s">
        <v>32</v>
      </c>
      <c r="E2" s="68" t="s">
        <v>7</v>
      </c>
      <c r="F2" s="67" t="s">
        <v>7</v>
      </c>
      <c r="G2" s="67" t="s">
        <v>7</v>
      </c>
      <c r="H2" s="68" t="s">
        <v>32</v>
      </c>
      <c r="I2" s="68" t="s">
        <v>32</v>
      </c>
      <c r="J2" s="68" t="s">
        <v>32</v>
      </c>
      <c r="K2" s="69" t="s">
        <v>54</v>
      </c>
      <c r="L2" s="69" t="s">
        <v>32</v>
      </c>
      <c r="M2" s="67" t="s">
        <v>64</v>
      </c>
      <c r="N2" s="67" t="s">
        <v>64</v>
      </c>
      <c r="O2" s="67" t="s">
        <v>6</v>
      </c>
      <c r="P2" s="67" t="s">
        <v>65</v>
      </c>
      <c r="Q2" s="67" t="s">
        <v>66</v>
      </c>
      <c r="R2" s="76"/>
      <c r="S2" s="67" t="s">
        <v>74</v>
      </c>
      <c r="T2" s="67" t="s">
        <v>74</v>
      </c>
      <c r="U2" s="68" t="s">
        <v>6</v>
      </c>
      <c r="V2" s="70" t="s">
        <v>68</v>
      </c>
      <c r="W2"/>
      <c r="X2" s="69" t="s">
        <v>32</v>
      </c>
      <c r="AA2" s="66"/>
      <c r="AB2" s="71"/>
      <c r="AN2" s="4"/>
      <c r="AO2" s="5"/>
      <c r="AP2" s="6"/>
      <c r="AQ2" s="211" t="s">
        <v>18</v>
      </c>
      <c r="AR2" s="212"/>
      <c r="AS2" s="212"/>
      <c r="AT2" s="212"/>
      <c r="AU2" s="212"/>
      <c r="AV2" s="212"/>
      <c r="AW2" s="212"/>
      <c r="AX2" s="212"/>
      <c r="AY2" s="213"/>
      <c r="AZ2" s="214"/>
      <c r="BA2" s="214"/>
      <c r="BB2" s="214"/>
      <c r="BC2" s="214"/>
      <c r="BD2" s="214"/>
      <c r="BE2" s="214"/>
      <c r="BF2" s="214"/>
      <c r="BG2" s="214"/>
      <c r="BH2" s="214"/>
      <c r="BI2" s="215"/>
      <c r="BJ2" s="7" t="s">
        <v>19</v>
      </c>
      <c r="BK2" s="194" t="s">
        <v>20</v>
      </c>
      <c r="BL2" s="195"/>
      <c r="BM2" s="195"/>
      <c r="BN2" s="195"/>
      <c r="BO2" s="195"/>
      <c r="BP2" s="8"/>
    </row>
    <row r="3" spans="1:68" ht="19.5" customHeight="1" thickBot="1" x14ac:dyDescent="0.3">
      <c r="A3" s="119">
        <v>250</v>
      </c>
      <c r="B3" s="119">
        <v>2000</v>
      </c>
      <c r="C3" s="73"/>
      <c r="D3" s="72">
        <v>0.06</v>
      </c>
      <c r="E3" s="72">
        <v>0.99990000000000001</v>
      </c>
      <c r="F3" s="72">
        <v>1.00023</v>
      </c>
      <c r="G3" s="72">
        <v>0.99970999999999999</v>
      </c>
      <c r="H3" s="72">
        <v>0.46994999999999998</v>
      </c>
      <c r="I3" s="72">
        <v>-31.4419</v>
      </c>
      <c r="J3" s="74">
        <f>SQRT(SUMSQ(u_Cal_R,u_Sens_R,u_Max_d_t_R)+u²_R)</f>
        <v>6.5093050690944093E-2</v>
      </c>
      <c r="K3" s="74">
        <f>((((Vol_R*Eff_Rho_R)*((1-0.0012/8)/0.99985))*(8-Eff_Rho_R)/(8*Eff_Rho_R)*SQRT((0.00001*(RhoA_R*0.001)*u_BP_R/760*101325)^2+(0.000022*(RhoA_R*0.001))^2+(-0.004*(RhoA_R*0.001)*u_t_R)^2+(-0.009*u_RH_R/100*(RhoA_R*0.001))^2))^2+((((Vol_R*Eff_Rho_R)*((1-0.0012/8)/0.99985))*((RhoA_R*0.001)-0.0012)/Eff_Rho_R)^2*(u_Rho_R^2/Eff_Rho_R^2))+(((Vol_R*Eff_Rho_R)*((1-0.0012/8)/0.99985))^2*((RhoA_R*0.001)-0.0012))*(((RhoA_R*0.001)-0.0012)-2*((Cal_Rho_A_R*0.001)-0.0012))*(u_Rho_R^2/Eff_Rho_R^4))*1000000</f>
        <v>5.9738229678183851E-4</v>
      </c>
      <c r="L3" s="74">
        <f>ABS(RhoA_R*(Vol_R*Max_d_t_R*0.1*Eff_CCE_R))/SQRT(3)</f>
        <v>1.6601986283740411E-3</v>
      </c>
      <c r="M3" s="72">
        <v>7.9924499999999998</v>
      </c>
      <c r="N3" s="72">
        <v>2.5000000000000001E-2</v>
      </c>
      <c r="O3" s="72">
        <v>0.2</v>
      </c>
      <c r="P3" s="72">
        <v>1</v>
      </c>
      <c r="Q3" s="72">
        <v>0.11</v>
      </c>
      <c r="S3" s="72">
        <v>1.1778999999999999</v>
      </c>
      <c r="T3" s="72">
        <v>1.2</v>
      </c>
      <c r="U3" s="72">
        <v>2.17</v>
      </c>
      <c r="V3" s="72">
        <v>4.5000000000000003E-5</v>
      </c>
      <c r="W3"/>
      <c r="X3" s="166">
        <f>MAX(ABS(Max_Sens_R-Avg_Sens_R)/10^(ROUND(LOG(Avg_Sens_R),1)),ABS(Min_Sens_R-Avg_Sens_R)/10^(ROUND(LOG(Avg_Sens_R),1)))*((MaxAi_R-MinAi_R)/SQRT(3))</f>
        <v>6.0800240119857785E-3</v>
      </c>
      <c r="AA3" s="66"/>
      <c r="AB3" s="71"/>
      <c r="AN3" s="9" t="s">
        <v>3</v>
      </c>
      <c r="AO3" s="10" t="s">
        <v>21</v>
      </c>
      <c r="AP3" s="10" t="s">
        <v>22</v>
      </c>
      <c r="AQ3" s="11" t="s">
        <v>77</v>
      </c>
      <c r="AR3" s="11" t="s">
        <v>78</v>
      </c>
      <c r="AS3" s="11" t="s">
        <v>79</v>
      </c>
      <c r="AT3" s="11" t="s">
        <v>80</v>
      </c>
      <c r="AU3" s="11" t="s">
        <v>81</v>
      </c>
      <c r="AV3" s="11" t="s">
        <v>82</v>
      </c>
      <c r="AW3" s="11" t="s">
        <v>83</v>
      </c>
      <c r="AX3" s="11" t="s">
        <v>84</v>
      </c>
      <c r="AY3" s="11" t="s">
        <v>85</v>
      </c>
      <c r="AZ3" s="60" t="s">
        <v>86</v>
      </c>
      <c r="BA3" s="60" t="s">
        <v>87</v>
      </c>
      <c r="BB3" s="61" t="s">
        <v>88</v>
      </c>
      <c r="BC3" s="61" t="s">
        <v>89</v>
      </c>
      <c r="BD3" s="61" t="s">
        <v>90</v>
      </c>
      <c r="BE3" s="61" t="s">
        <v>91</v>
      </c>
      <c r="BF3" s="61" t="s">
        <v>92</v>
      </c>
      <c r="BG3" s="61" t="s">
        <v>93</v>
      </c>
      <c r="BH3" s="61" t="s">
        <v>94</v>
      </c>
      <c r="BI3" s="61" t="s">
        <v>95</v>
      </c>
      <c r="BJ3" s="62" t="s">
        <v>96</v>
      </c>
      <c r="BK3" s="12" t="s">
        <v>97</v>
      </c>
      <c r="BL3" s="13" t="s">
        <v>98</v>
      </c>
      <c r="BM3" s="13" t="s">
        <v>99</v>
      </c>
      <c r="BN3" s="13" t="s">
        <v>100</v>
      </c>
      <c r="BO3" s="13" t="s">
        <v>101</v>
      </c>
      <c r="BP3" s="14" t="s">
        <v>23</v>
      </c>
    </row>
    <row r="4" spans="1:68" ht="29.25" customHeight="1" thickTop="1" thickBot="1" x14ac:dyDescent="0.3">
      <c r="A4" s="199" t="s">
        <v>76</v>
      </c>
      <c r="B4" s="200"/>
      <c r="V4" s="66"/>
      <c r="W4"/>
      <c r="X4" s="66"/>
      <c r="Y4" s="66"/>
      <c r="Z4" s="66"/>
      <c r="AA4" s="66"/>
      <c r="AB4" s="66"/>
      <c r="AC4" s="66"/>
      <c r="AD4" s="66"/>
      <c r="AN4" s="16"/>
      <c r="AO4" s="17"/>
      <c r="AP4" s="18"/>
      <c r="AQ4" s="19">
        <v>1</v>
      </c>
      <c r="AR4" s="19">
        <v>2</v>
      </c>
      <c r="AS4" s="19">
        <v>3</v>
      </c>
      <c r="AT4" s="19">
        <v>4</v>
      </c>
      <c r="AU4" s="19">
        <v>5</v>
      </c>
      <c r="AV4" s="19">
        <v>6</v>
      </c>
      <c r="AW4" s="19">
        <v>7</v>
      </c>
      <c r="AX4" s="19">
        <v>8</v>
      </c>
      <c r="AY4" s="19">
        <v>9</v>
      </c>
      <c r="AZ4" s="19">
        <v>10</v>
      </c>
      <c r="BA4" s="19">
        <v>11</v>
      </c>
      <c r="BB4" s="19">
        <v>12</v>
      </c>
      <c r="BC4" s="19">
        <v>13</v>
      </c>
      <c r="BD4" s="19">
        <v>14</v>
      </c>
      <c r="BE4" s="19">
        <v>15</v>
      </c>
      <c r="BF4" s="19">
        <v>16</v>
      </c>
      <c r="BG4" s="19">
        <v>17</v>
      </c>
      <c r="BH4" s="19">
        <v>18</v>
      </c>
      <c r="BI4" s="19">
        <v>19</v>
      </c>
      <c r="BJ4" s="20">
        <v>20</v>
      </c>
      <c r="BK4" s="21">
        <v>21</v>
      </c>
      <c r="BL4" s="19">
        <v>22</v>
      </c>
      <c r="BM4" s="19">
        <v>23</v>
      </c>
      <c r="BN4" s="19">
        <v>24</v>
      </c>
      <c r="BO4" s="19">
        <v>25</v>
      </c>
      <c r="BP4" s="20">
        <v>26</v>
      </c>
    </row>
    <row r="5" spans="1:68" ht="27.75" thickTop="1" thickBot="1" x14ac:dyDescent="0.45">
      <c r="A5" s="196" t="s">
        <v>88</v>
      </c>
      <c r="B5" s="197"/>
      <c r="D5" s="77" t="s">
        <v>4</v>
      </c>
      <c r="G5" s="76"/>
      <c r="O5" s="77" t="s">
        <v>4</v>
      </c>
    </row>
    <row r="6" spans="1:68" ht="21.75" thickTop="1" x14ac:dyDescent="0.35">
      <c r="A6" s="198" t="s">
        <v>39</v>
      </c>
      <c r="B6" s="198"/>
      <c r="C6" s="78"/>
      <c r="D6" s="204" t="s">
        <v>160</v>
      </c>
      <c r="E6" s="205"/>
      <c r="F6" s="206"/>
      <c r="G6" s="162"/>
      <c r="H6" s="201" t="s">
        <v>161</v>
      </c>
      <c r="I6" s="202"/>
      <c r="J6" s="202"/>
      <c r="K6" s="202"/>
      <c r="L6" s="202"/>
      <c r="M6" s="202"/>
      <c r="N6" s="202"/>
      <c r="O6" s="202"/>
      <c r="P6" s="202"/>
      <c r="Q6" s="202"/>
      <c r="R6" s="202"/>
      <c r="S6" s="202"/>
      <c r="T6" s="202"/>
      <c r="U6" s="202"/>
      <c r="V6" s="202"/>
      <c r="W6" s="202"/>
      <c r="X6" s="202"/>
      <c r="Y6" s="202"/>
      <c r="Z6" s="202"/>
      <c r="AA6" s="202"/>
      <c r="AB6"/>
      <c r="AC6" s="216" t="s">
        <v>38</v>
      </c>
      <c r="AD6" s="216"/>
      <c r="AE6" s="216"/>
      <c r="AF6" s="216"/>
      <c r="AG6" s="216"/>
      <c r="AH6" s="216"/>
      <c r="AI6" s="140"/>
      <c r="AJ6" s="140"/>
      <c r="AK6" s="66"/>
    </row>
    <row r="7" spans="1:68" s="79" customFormat="1" ht="114" customHeight="1" thickBot="1" x14ac:dyDescent="0.4">
      <c r="A7" s="120" t="s">
        <v>63</v>
      </c>
      <c r="B7" s="120" t="str">
        <f>CONCATENATE("MPE
(mg) 
",A5," for this exercise")</f>
        <v>MPE
(mg) 
ASTM 0 for this exercise</v>
      </c>
      <c r="C7" s="121"/>
      <c r="D7" s="122" t="s">
        <v>111</v>
      </c>
      <c r="E7" s="122" t="s">
        <v>112</v>
      </c>
      <c r="F7" s="163" t="s">
        <v>158</v>
      </c>
      <c r="H7" s="120" t="s">
        <v>102</v>
      </c>
      <c r="I7" s="120" t="s">
        <v>33</v>
      </c>
      <c r="J7" s="120" t="s">
        <v>34</v>
      </c>
      <c r="K7" s="120" t="s">
        <v>35</v>
      </c>
      <c r="L7" s="120" t="s">
        <v>114</v>
      </c>
      <c r="M7" s="123" t="s">
        <v>103</v>
      </c>
      <c r="N7" s="123" t="s">
        <v>104</v>
      </c>
      <c r="O7" s="123" t="s">
        <v>105</v>
      </c>
      <c r="P7" s="123" t="s">
        <v>106</v>
      </c>
      <c r="Q7" s="123" t="s">
        <v>107</v>
      </c>
      <c r="R7" s="123" t="s">
        <v>108</v>
      </c>
      <c r="S7" s="123" t="s">
        <v>157</v>
      </c>
      <c r="T7" s="123" t="s">
        <v>113</v>
      </c>
      <c r="U7" s="123" t="s">
        <v>117</v>
      </c>
      <c r="V7" s="123" t="str">
        <f>CONCATENATE("Uncertainty due to u(CCE) of X
(10 % @ 
"&amp;IFERROR(ROUND(AVERAGE(U8:U52),2),"-")&amp;" °C)
(mg)")</f>
        <v>Uncertainty due to u(CCE) of X
(10 % @ 
1.55 °C)
(mg)</v>
      </c>
      <c r="W7" s="123" t="s">
        <v>109</v>
      </c>
      <c r="X7" s="124" t="s">
        <v>51</v>
      </c>
      <c r="Y7" s="123" t="s">
        <v>116</v>
      </c>
      <c r="Z7" s="124" t="s">
        <v>110</v>
      </c>
      <c r="AA7" s="120" t="s">
        <v>22</v>
      </c>
      <c r="AB7" s="125"/>
      <c r="AC7" s="123" t="s">
        <v>37</v>
      </c>
      <c r="AD7" s="126" t="s">
        <v>36</v>
      </c>
      <c r="AE7" s="126" t="s">
        <v>11</v>
      </c>
      <c r="AF7" s="127" t="s">
        <v>102</v>
      </c>
      <c r="AG7" s="127" t="s">
        <v>8</v>
      </c>
      <c r="AH7" s="127" t="str">
        <f>CONCATENATE("Uncertainty due to u(CCE)
(10 % @ "&amp;AJ3&amp;" °C)
(mg)")</f>
        <v>Uncertainty due to u(CCE)
(10 % @  °C)
(mg)</v>
      </c>
    </row>
    <row r="8" spans="1:68" ht="17.100000000000001" customHeight="1" thickTop="1" x14ac:dyDescent="0.25">
      <c r="A8" s="80">
        <v>30000</v>
      </c>
      <c r="B8" s="170">
        <f>VLOOKUP(Nom_X,'MPE Table'!$C$5:$AC$50,(HLOOKUP($A$5,'MPE Table'!$D$3:$AC$4,2,0)+1),0)</f>
        <v>38</v>
      </c>
      <c r="C8" s="82"/>
      <c r="D8" s="129">
        <f t="shared" ref="D8:D52" si="0">u_R/(Nom_R)*Nom_X</f>
        <v>0.97639576036416154</v>
      </c>
      <c r="E8" s="81"/>
      <c r="F8" s="84">
        <f t="shared" ref="F8:F52" si="1">SQRT(SUMSQ(Prop_Type_B_R,Type_A_of_series))</f>
        <v>0.97639576036416154</v>
      </c>
      <c r="H8" s="85">
        <f t="shared" ref="H8:H52" si="2">((((Nom_X)*(8-Assumed_Rho_X)/(8*Assumed_Rho_X)*SQRT((0.00001*(RhoA_X*0.001)*u_BP_X/760*101325)^2+(0.000022*(RhoA_X*0.001))^2+(-0.004*(RhoA_X*0.001)*u_t_X)^2+(-0.009*u_RH_X/100*(RhoA_X*0.001))^2))^2)+((Nom_X*((RhoA_X*0.001)-0.0012))^2*(u_Rho_X^2/Assumed_Rho_X^4))+(Nom_X*((1.2*0.001)-0.0012))-2*(0.0012-0.0012)*(u_Rho_R^2/8^4))*1000000</f>
        <v>3.7011206665063159</v>
      </c>
      <c r="I8" s="81">
        <v>1</v>
      </c>
      <c r="J8" s="81">
        <v>1</v>
      </c>
      <c r="K8" s="81">
        <v>1</v>
      </c>
      <c r="L8" s="85">
        <f t="shared" ref="L8:L52" si="3">IF(B8="-","-",MAX(ABS(J8-I8)/10^(ROUND(LOG(I8),1)),ABS(K8-I8)/10^(ROUND(LOG(I8),1)))*B8/SQRT(3))</f>
        <v>0</v>
      </c>
      <c r="M8" s="81">
        <v>8</v>
      </c>
      <c r="N8" s="81">
        <v>7.0000000000000007E-2</v>
      </c>
      <c r="O8" s="81">
        <v>2</v>
      </c>
      <c r="P8" s="81">
        <v>1</v>
      </c>
      <c r="Q8" s="81">
        <v>0.11</v>
      </c>
      <c r="R8" s="81">
        <v>1.1413690000000001</v>
      </c>
      <c r="S8" s="86">
        <v>0</v>
      </c>
      <c r="T8" s="170">
        <f t="shared" ref="T8:T52" si="4">IF(AND(2.6&lt;Assumed_Rho_X,Assumed_Rho_X&lt;2.8),0.000069,IF(AND(8.3&lt;Assumed_Rho_X,Assumed_Rho_X&lt;8.6),0.000039,IF(AND(7.8&lt;Assumed_Rho_X,Assumed_Rho_X&lt;8.05),0.000045,IF(AND(16.5&lt;Assumed_Rho_X,Assumed_Rho_X&lt;16.8),0.00002,"-"))))</f>
        <v>4.5000000000000003E-5</v>
      </c>
      <c r="U8" s="81">
        <v>0</v>
      </c>
      <c r="V8" s="86">
        <f t="shared" ref="V8:V52" si="5">IFERROR(ABS(RhoA_X*(Nom_X/Assumed_Rho_X)*Max_d_t_X*0.1*CCE_X)/SQRT(3),"-")</f>
        <v>0</v>
      </c>
      <c r="W8" s="86" t="str">
        <f t="shared" ref="W8:W52" si="6">IF(OR(Type_A_of_series="",Type_A_of_series="-"),"-",IF(MPE_X="-","-",SQRT(SUMSQ(u_Series1_X,u_Sens_X,u_Max_d_t_X)+u²_ABC_X)))</f>
        <v>-</v>
      </c>
      <c r="X8" s="87">
        <v>2</v>
      </c>
      <c r="Y8" s="86" t="str">
        <f t="shared" ref="Y8:Y52" si="7">IFERROR(IF(MPE_X="-","-",FIXED(k_X*uc_X,2-1-INT(LOG10(ABS(2*uc_X))))),"-")</f>
        <v>-</v>
      </c>
      <c r="Z8" s="130" t="str">
        <f t="shared" ref="Z8:Z52" si="8">IF(OR(MPE_X="-",Y8="-"),"-",3*Uk_X/MPE_X)</f>
        <v>-</v>
      </c>
      <c r="AA8" s="80">
        <f t="shared" ref="AA8:AA52" si="9">A8</f>
        <v>30000</v>
      </c>
      <c r="AC8" s="112" t="e">
        <f t="shared" ref="AC8:AC52" si="10">SUM(AD8:AH8)</f>
        <v>#VALUE!</v>
      </c>
      <c r="AD8" s="112" t="e">
        <f t="shared" ref="AD8:AD52" si="11">D8^2/$W8^2</f>
        <v>#VALUE!</v>
      </c>
      <c r="AE8" s="112" t="e">
        <f t="shared" ref="AE8:AE52" si="12">E8^2/$W8^2</f>
        <v>#VALUE!</v>
      </c>
      <c r="AF8" s="112" t="e">
        <f t="shared" ref="AF8:AF52" si="13">H8/$W8^2</f>
        <v>#VALUE!</v>
      </c>
      <c r="AG8" s="112" t="e">
        <f t="shared" ref="AG8:AG52" si="14">L8^2/$W8^2</f>
        <v>#VALUE!</v>
      </c>
      <c r="AH8" s="112" t="e">
        <f t="shared" ref="AH8:AH52" si="15">V8^2/$W8^2</f>
        <v>#VALUE!</v>
      </c>
      <c r="AI8" s="66"/>
      <c r="AJ8" s="66"/>
      <c r="AK8" s="66"/>
    </row>
    <row r="9" spans="1:68" ht="17.100000000000001" customHeight="1" x14ac:dyDescent="0.25">
      <c r="A9" s="88">
        <v>20000</v>
      </c>
      <c r="B9" s="169">
        <f>VLOOKUP(Nom_X,'MPE Table'!$C$5:$AC$50,(HLOOKUP($A$5,'MPE Table'!$D$3:$AC$4,2,0)+1),0)</f>
        <v>25</v>
      </c>
      <c r="C9" s="90"/>
      <c r="D9" s="91">
        <f t="shared" si="0"/>
        <v>0.65093050690944099</v>
      </c>
      <c r="E9" s="89"/>
      <c r="F9" s="92">
        <f t="shared" si="1"/>
        <v>0.65093050690944099</v>
      </c>
      <c r="H9" s="93">
        <f t="shared" si="2"/>
        <v>1.6449425184472515</v>
      </c>
      <c r="I9" s="89">
        <v>1</v>
      </c>
      <c r="J9" s="89">
        <v>1</v>
      </c>
      <c r="K9" s="89">
        <v>1</v>
      </c>
      <c r="L9" s="93">
        <f t="shared" si="3"/>
        <v>0</v>
      </c>
      <c r="M9" s="89">
        <v>8</v>
      </c>
      <c r="N9" s="89">
        <v>7.0000000000000007E-2</v>
      </c>
      <c r="O9" s="89">
        <v>0.2</v>
      </c>
      <c r="P9" s="89">
        <v>1</v>
      </c>
      <c r="Q9" s="89">
        <v>0.11</v>
      </c>
      <c r="R9" s="89">
        <v>1.1413690000000001</v>
      </c>
      <c r="S9" s="94">
        <v>0</v>
      </c>
      <c r="T9" s="169">
        <f t="shared" si="4"/>
        <v>4.5000000000000003E-5</v>
      </c>
      <c r="U9" s="89">
        <v>0</v>
      </c>
      <c r="V9" s="94">
        <f t="shared" si="5"/>
        <v>0</v>
      </c>
      <c r="W9" s="94" t="str">
        <f t="shared" si="6"/>
        <v>-</v>
      </c>
      <c r="X9" s="95">
        <v>2</v>
      </c>
      <c r="Y9" s="94" t="str">
        <f t="shared" si="7"/>
        <v>-</v>
      </c>
      <c r="Z9" s="130" t="str">
        <f t="shared" si="8"/>
        <v>-</v>
      </c>
      <c r="AA9" s="88">
        <f t="shared" si="9"/>
        <v>20000</v>
      </c>
      <c r="AC9" s="112" t="e">
        <f t="shared" si="10"/>
        <v>#VALUE!</v>
      </c>
      <c r="AD9" s="112" t="e">
        <f t="shared" si="11"/>
        <v>#VALUE!</v>
      </c>
      <c r="AE9" s="112" t="e">
        <f t="shared" si="12"/>
        <v>#VALUE!</v>
      </c>
      <c r="AF9" s="112" t="e">
        <f t="shared" si="13"/>
        <v>#VALUE!</v>
      </c>
      <c r="AG9" s="112" t="e">
        <f t="shared" si="14"/>
        <v>#VALUE!</v>
      </c>
      <c r="AH9" s="112" t="e">
        <f t="shared" si="15"/>
        <v>#VALUE!</v>
      </c>
      <c r="AI9" s="66"/>
      <c r="AJ9" s="66"/>
      <c r="AK9" s="66"/>
    </row>
    <row r="10" spans="1:68" s="104" customFormat="1" ht="17.100000000000001" customHeight="1" x14ac:dyDescent="0.25">
      <c r="A10" s="96">
        <v>10000</v>
      </c>
      <c r="B10" s="168">
        <f>VLOOKUP(Nom_X,'MPE Table'!$C$5:$AC$50,(HLOOKUP($A$5,'MPE Table'!$D$3:$AC$4,2,0)+1),0)</f>
        <v>13</v>
      </c>
      <c r="C10" s="98"/>
      <c r="D10" s="106">
        <f t="shared" si="0"/>
        <v>0.32546525345472049</v>
      </c>
      <c r="E10" s="97"/>
      <c r="F10" s="99">
        <f t="shared" si="1"/>
        <v>0.32546525345472049</v>
      </c>
      <c r="H10" s="100">
        <f t="shared" si="2"/>
        <v>0.41123562961181287</v>
      </c>
      <c r="I10" s="97">
        <v>1</v>
      </c>
      <c r="J10" s="97">
        <v>1</v>
      </c>
      <c r="K10" s="97">
        <v>1</v>
      </c>
      <c r="L10" s="100">
        <f t="shared" ref="L10" si="16">IF(B10="-","-",MAX(ABS(J10-I10)/10^(ROUND(LOG(I10),1)),ABS(K10-I10)/10^(ROUND(LOG(I10),1)))*B10/SQRT(3))</f>
        <v>0</v>
      </c>
      <c r="M10" s="97">
        <v>8</v>
      </c>
      <c r="N10" s="97">
        <v>7.0000000000000007E-2</v>
      </c>
      <c r="O10" s="97">
        <v>0.2</v>
      </c>
      <c r="P10" s="97">
        <v>1</v>
      </c>
      <c r="Q10" s="97">
        <v>0.11</v>
      </c>
      <c r="R10" s="97">
        <v>1.1413690000000001</v>
      </c>
      <c r="S10" s="101">
        <v>0</v>
      </c>
      <c r="T10" s="168">
        <f t="shared" si="4"/>
        <v>4.5000000000000003E-5</v>
      </c>
      <c r="U10" s="97">
        <v>0</v>
      </c>
      <c r="V10" s="101">
        <f t="shared" si="5"/>
        <v>0</v>
      </c>
      <c r="W10" s="101" t="str">
        <f t="shared" si="6"/>
        <v>-</v>
      </c>
      <c r="X10" s="102">
        <v>2</v>
      </c>
      <c r="Y10" s="101" t="str">
        <f t="shared" si="7"/>
        <v>-</v>
      </c>
      <c r="Z10" s="131" t="str">
        <f t="shared" ref="Z10" si="17">IF(OR(MPE_X="-",Y10="-"),"-",3*Uk_X/MPE_X)</f>
        <v>-</v>
      </c>
      <c r="AA10" s="96">
        <f t="shared" ref="AA10" si="18">A10</f>
        <v>10000</v>
      </c>
      <c r="AB10" s="103"/>
      <c r="AC10" s="113" t="e">
        <f t="shared" ref="AC10" si="19">SUM(AD10:AH10)</f>
        <v>#VALUE!</v>
      </c>
      <c r="AD10" s="113" t="e">
        <f t="shared" ref="AD10" si="20">D10^2/$W10^2</f>
        <v>#VALUE!</v>
      </c>
      <c r="AE10" s="113" t="e">
        <f t="shared" ref="AE10" si="21">E10^2/$W10^2</f>
        <v>#VALUE!</v>
      </c>
      <c r="AF10" s="113" t="e">
        <f t="shared" ref="AF10" si="22">H10/$W10^2</f>
        <v>#VALUE!</v>
      </c>
      <c r="AG10" s="113" t="e">
        <f t="shared" ref="AG10" si="23">L10^2/$W10^2</f>
        <v>#VALUE!</v>
      </c>
      <c r="AH10" s="113" t="e">
        <f t="shared" ref="AH10" si="24">V10^2/$W10^2</f>
        <v>#VALUE!</v>
      </c>
    </row>
    <row r="11" spans="1:68" ht="17.100000000000001" customHeight="1" x14ac:dyDescent="0.25">
      <c r="A11" s="183">
        <v>10000</v>
      </c>
      <c r="B11" s="184">
        <f>VLOOKUP(Nom_X,'MPE Table'!$C$5:$AC$50,(HLOOKUP($A$5,'MPE Table'!$D$3:$AC$4,2,0)+1),0)</f>
        <v>13</v>
      </c>
      <c r="C11" s="98"/>
      <c r="D11" s="185">
        <f t="shared" si="0"/>
        <v>0.32546525345472049</v>
      </c>
      <c r="E11" s="97"/>
      <c r="F11" s="185">
        <f t="shared" si="1"/>
        <v>0.32546525345472049</v>
      </c>
      <c r="G11" s="187"/>
      <c r="H11" s="184">
        <f t="shared" si="2"/>
        <v>0.41123562961181287</v>
      </c>
      <c r="I11" s="97">
        <v>1</v>
      </c>
      <c r="J11" s="97">
        <v>1</v>
      </c>
      <c r="K11" s="97">
        <v>1</v>
      </c>
      <c r="L11" s="184">
        <f t="shared" si="3"/>
        <v>0</v>
      </c>
      <c r="M11" s="97">
        <v>8</v>
      </c>
      <c r="N11" s="97">
        <v>7.0000000000000007E-2</v>
      </c>
      <c r="O11" s="97">
        <v>0.2</v>
      </c>
      <c r="P11" s="97">
        <v>1</v>
      </c>
      <c r="Q11" s="97">
        <v>0.11</v>
      </c>
      <c r="R11" s="97">
        <v>1.1413690000000001</v>
      </c>
      <c r="S11" s="184">
        <v>0</v>
      </c>
      <c r="T11" s="184">
        <f t="shared" si="4"/>
        <v>4.5000000000000003E-5</v>
      </c>
      <c r="U11" s="97">
        <v>0</v>
      </c>
      <c r="V11" s="184">
        <f t="shared" si="5"/>
        <v>0</v>
      </c>
      <c r="W11" s="184" t="str">
        <f t="shared" si="6"/>
        <v>-</v>
      </c>
      <c r="X11" s="102">
        <v>2</v>
      </c>
      <c r="Y11" s="184" t="str">
        <f t="shared" si="7"/>
        <v>-</v>
      </c>
      <c r="Z11" s="131" t="str">
        <f t="shared" si="8"/>
        <v>-</v>
      </c>
      <c r="AA11" s="186">
        <f t="shared" si="9"/>
        <v>10000</v>
      </c>
      <c r="AB11" s="140"/>
      <c r="AC11" s="112" t="e">
        <f t="shared" si="10"/>
        <v>#VALUE!</v>
      </c>
      <c r="AD11" s="112" t="e">
        <f t="shared" si="11"/>
        <v>#VALUE!</v>
      </c>
      <c r="AE11" s="112" t="e">
        <f t="shared" si="12"/>
        <v>#VALUE!</v>
      </c>
      <c r="AF11" s="112" t="e">
        <f t="shared" si="13"/>
        <v>#VALUE!</v>
      </c>
      <c r="AG11" s="112" t="e">
        <f t="shared" si="14"/>
        <v>#VALUE!</v>
      </c>
      <c r="AH11" s="112" t="e">
        <f t="shared" si="15"/>
        <v>#VALUE!</v>
      </c>
      <c r="AI11" s="66"/>
      <c r="AJ11" s="66"/>
      <c r="AK11" s="66"/>
    </row>
    <row r="12" spans="1:68" ht="17.100000000000001" customHeight="1" x14ac:dyDescent="0.25">
      <c r="A12" s="88">
        <v>5000</v>
      </c>
      <c r="B12" s="169">
        <f>VLOOKUP(Nom_X,'MPE Table'!$C$5:$AC$50,(HLOOKUP($A$5,'MPE Table'!$D$3:$AC$4,2,0)+1),0)</f>
        <v>6</v>
      </c>
      <c r="C12" s="90"/>
      <c r="D12" s="83">
        <f t="shared" si="0"/>
        <v>0.16273262672736025</v>
      </c>
      <c r="E12" s="89"/>
      <c r="F12" s="92">
        <f t="shared" si="1"/>
        <v>0.16273262672736025</v>
      </c>
      <c r="H12" s="93">
        <f t="shared" si="2"/>
        <v>0.10280890740295322</v>
      </c>
      <c r="I12" s="89">
        <v>1</v>
      </c>
      <c r="J12" s="89">
        <v>1</v>
      </c>
      <c r="K12" s="89">
        <v>1</v>
      </c>
      <c r="L12" s="93">
        <f t="shared" si="3"/>
        <v>0</v>
      </c>
      <c r="M12" s="89">
        <v>8</v>
      </c>
      <c r="N12" s="89">
        <v>7.0000000000000007E-2</v>
      </c>
      <c r="O12" s="89">
        <v>0.2</v>
      </c>
      <c r="P12" s="89">
        <v>1</v>
      </c>
      <c r="Q12" s="89">
        <v>0.11</v>
      </c>
      <c r="R12" s="89">
        <v>1.1413690000000001</v>
      </c>
      <c r="S12" s="94">
        <v>0</v>
      </c>
      <c r="T12" s="169">
        <f t="shared" si="4"/>
        <v>4.5000000000000003E-5</v>
      </c>
      <c r="U12" s="89">
        <v>0</v>
      </c>
      <c r="V12" s="94">
        <f t="shared" si="5"/>
        <v>0</v>
      </c>
      <c r="W12" s="94" t="str">
        <f t="shared" si="6"/>
        <v>-</v>
      </c>
      <c r="X12" s="95">
        <v>2</v>
      </c>
      <c r="Y12" s="94" t="str">
        <f t="shared" si="7"/>
        <v>-</v>
      </c>
      <c r="Z12" s="130" t="str">
        <f t="shared" si="8"/>
        <v>-</v>
      </c>
      <c r="AA12" s="88">
        <f t="shared" si="9"/>
        <v>5000</v>
      </c>
      <c r="AC12" s="112" t="e">
        <f t="shared" si="10"/>
        <v>#VALUE!</v>
      </c>
      <c r="AD12" s="112" t="e">
        <f t="shared" si="11"/>
        <v>#VALUE!</v>
      </c>
      <c r="AE12" s="112" t="e">
        <f t="shared" si="12"/>
        <v>#VALUE!</v>
      </c>
      <c r="AF12" s="112" t="e">
        <f t="shared" si="13"/>
        <v>#VALUE!</v>
      </c>
      <c r="AG12" s="112" t="e">
        <f t="shared" si="14"/>
        <v>#VALUE!</v>
      </c>
      <c r="AH12" s="112" t="e">
        <f t="shared" si="15"/>
        <v>#VALUE!</v>
      </c>
      <c r="AI12" s="66"/>
      <c r="AJ12" s="66"/>
      <c r="AK12" s="66"/>
    </row>
    <row r="13" spans="1:68" ht="17.100000000000001" customHeight="1" x14ac:dyDescent="0.25">
      <c r="A13" s="88">
        <v>3000</v>
      </c>
      <c r="B13" s="169">
        <f>VLOOKUP(Nom_X,'MPE Table'!$C$5:$AC$50,(HLOOKUP($A$5,'MPE Table'!$D$3:$AC$4,2,0)+1),0)</f>
        <v>3.8</v>
      </c>
      <c r="C13" s="90"/>
      <c r="D13" s="91">
        <f t="shared" si="0"/>
        <v>9.7639576036416154E-2</v>
      </c>
      <c r="E13" s="89"/>
      <c r="F13" s="92">
        <f t="shared" si="1"/>
        <v>9.7639576036416154E-2</v>
      </c>
      <c r="H13" s="93">
        <f t="shared" si="2"/>
        <v>3.7011206665063162E-2</v>
      </c>
      <c r="I13" s="89">
        <v>1</v>
      </c>
      <c r="J13" s="89">
        <v>1</v>
      </c>
      <c r="K13" s="89">
        <v>1</v>
      </c>
      <c r="L13" s="93">
        <f t="shared" si="3"/>
        <v>0</v>
      </c>
      <c r="M13" s="89">
        <v>8</v>
      </c>
      <c r="N13" s="89">
        <v>7.0000000000000007E-2</v>
      </c>
      <c r="O13" s="89">
        <v>0.2</v>
      </c>
      <c r="P13" s="89">
        <v>1</v>
      </c>
      <c r="Q13" s="89">
        <v>0.11</v>
      </c>
      <c r="R13" s="89">
        <v>1.1413690000000001</v>
      </c>
      <c r="S13" s="94">
        <v>0</v>
      </c>
      <c r="T13" s="169">
        <f t="shared" si="4"/>
        <v>4.5000000000000003E-5</v>
      </c>
      <c r="U13" s="89">
        <v>0</v>
      </c>
      <c r="V13" s="94">
        <f t="shared" si="5"/>
        <v>0</v>
      </c>
      <c r="W13" s="94" t="str">
        <f t="shared" si="6"/>
        <v>-</v>
      </c>
      <c r="X13" s="95">
        <v>2</v>
      </c>
      <c r="Y13" s="94" t="str">
        <f t="shared" si="7"/>
        <v>-</v>
      </c>
      <c r="Z13" s="130" t="str">
        <f t="shared" si="8"/>
        <v>-</v>
      </c>
      <c r="AA13" s="88">
        <f t="shared" si="9"/>
        <v>3000</v>
      </c>
      <c r="AC13" s="112" t="e">
        <f t="shared" si="10"/>
        <v>#VALUE!</v>
      </c>
      <c r="AD13" s="112" t="e">
        <f t="shared" si="11"/>
        <v>#VALUE!</v>
      </c>
      <c r="AE13" s="112" t="e">
        <f t="shared" si="12"/>
        <v>#VALUE!</v>
      </c>
      <c r="AF13" s="112" t="e">
        <f t="shared" si="13"/>
        <v>#VALUE!</v>
      </c>
      <c r="AG13" s="112" t="e">
        <f t="shared" si="14"/>
        <v>#VALUE!</v>
      </c>
      <c r="AH13" s="112" t="e">
        <f t="shared" si="15"/>
        <v>#VALUE!</v>
      </c>
      <c r="AI13" s="66"/>
      <c r="AJ13" s="66"/>
      <c r="AK13" s="66"/>
    </row>
    <row r="14" spans="1:68" ht="17.100000000000001" customHeight="1" x14ac:dyDescent="0.25">
      <c r="A14" s="88">
        <v>2000</v>
      </c>
      <c r="B14" s="169">
        <f>VLOOKUP(Nom_X,'MPE Table'!$C$5:$AC$50,(HLOOKUP($A$5,'MPE Table'!$D$3:$AC$4,2,0)+1),0)</f>
        <v>2.5</v>
      </c>
      <c r="C14" s="90"/>
      <c r="D14" s="91">
        <f t="shared" si="0"/>
        <v>6.5093050690944093E-2</v>
      </c>
      <c r="E14" s="89"/>
      <c r="F14" s="92">
        <f t="shared" si="1"/>
        <v>6.5093050690944093E-2</v>
      </c>
      <c r="H14" s="93">
        <f t="shared" si="2"/>
        <v>1.6449425184472517E-2</v>
      </c>
      <c r="I14" s="89">
        <v>1</v>
      </c>
      <c r="J14" s="89">
        <v>1</v>
      </c>
      <c r="K14" s="89">
        <v>1</v>
      </c>
      <c r="L14" s="93">
        <f t="shared" si="3"/>
        <v>0</v>
      </c>
      <c r="M14" s="89">
        <v>8</v>
      </c>
      <c r="N14" s="89">
        <v>7.0000000000000007E-2</v>
      </c>
      <c r="O14" s="89">
        <v>0.2</v>
      </c>
      <c r="P14" s="89">
        <v>1</v>
      </c>
      <c r="Q14" s="89">
        <v>0.11</v>
      </c>
      <c r="R14" s="89">
        <v>1.1413690000000001</v>
      </c>
      <c r="S14" s="94">
        <v>0</v>
      </c>
      <c r="T14" s="169">
        <f t="shared" si="4"/>
        <v>4.5000000000000003E-5</v>
      </c>
      <c r="U14" s="89">
        <v>0</v>
      </c>
      <c r="V14" s="94">
        <f t="shared" si="5"/>
        <v>0</v>
      </c>
      <c r="W14" s="94" t="str">
        <f t="shared" si="6"/>
        <v>-</v>
      </c>
      <c r="X14" s="95">
        <v>2</v>
      </c>
      <c r="Y14" s="94" t="str">
        <f t="shared" si="7"/>
        <v>-</v>
      </c>
      <c r="Z14" s="130" t="str">
        <f t="shared" si="8"/>
        <v>-</v>
      </c>
      <c r="AA14" s="88">
        <f t="shared" si="9"/>
        <v>2000</v>
      </c>
      <c r="AC14" s="112" t="e">
        <f t="shared" si="10"/>
        <v>#VALUE!</v>
      </c>
      <c r="AD14" s="112" t="e">
        <f t="shared" si="11"/>
        <v>#VALUE!</v>
      </c>
      <c r="AE14" s="112" t="e">
        <f t="shared" si="12"/>
        <v>#VALUE!</v>
      </c>
      <c r="AF14" s="112" t="e">
        <f t="shared" si="13"/>
        <v>#VALUE!</v>
      </c>
      <c r="AG14" s="112" t="e">
        <f t="shared" si="14"/>
        <v>#VALUE!</v>
      </c>
      <c r="AH14" s="112" t="e">
        <f t="shared" si="15"/>
        <v>#VALUE!</v>
      </c>
      <c r="AI14" s="66"/>
      <c r="AJ14" s="66"/>
      <c r="AK14" s="66"/>
    </row>
    <row r="15" spans="1:68" s="104" customFormat="1" ht="17.100000000000001" customHeight="1" x14ac:dyDescent="0.25">
      <c r="A15" s="105">
        <v>1000</v>
      </c>
      <c r="B15" s="168">
        <f>VLOOKUP(Nom_X,'MPE Table'!$C$5:$AC$50,(HLOOKUP($A$5,'MPE Table'!$D$3:$AC$4,2,0)+1),0)</f>
        <v>1.3</v>
      </c>
      <c r="C15" s="98"/>
      <c r="D15" s="106">
        <f t="shared" si="0"/>
        <v>3.2546525345472047E-2</v>
      </c>
      <c r="E15" s="97">
        <v>2.5350000000000001E-2</v>
      </c>
      <c r="F15" s="99">
        <f t="shared" si="1"/>
        <v>4.1254076308450474E-2</v>
      </c>
      <c r="H15" s="100">
        <f t="shared" si="2"/>
        <v>5.4030878482489982E-4</v>
      </c>
      <c r="I15" s="97">
        <v>0.99990000000000001</v>
      </c>
      <c r="J15" s="97">
        <v>1.00023</v>
      </c>
      <c r="K15" s="97">
        <v>0.99970999999999999</v>
      </c>
      <c r="L15" s="100">
        <f t="shared" ref="L15" si="25">IF(B15="-","-",MAX(ABS(J15-I15)/10^(ROUND(LOG(I15),1)),ABS(K15-I15)/10^(ROUND(LOG(I15),1)))*B15/SQRT(3))</f>
        <v>2.4768326548230553E-4</v>
      </c>
      <c r="M15" s="97">
        <v>7.9435000000000002</v>
      </c>
      <c r="N15" s="97">
        <v>2.5000000000000001E-2</v>
      </c>
      <c r="O15" s="97">
        <v>0.2</v>
      </c>
      <c r="P15" s="97">
        <v>1</v>
      </c>
      <c r="Q15" s="97">
        <v>0.11</v>
      </c>
      <c r="R15" s="97">
        <v>1.1413690000000001</v>
      </c>
      <c r="S15" s="101">
        <v>0</v>
      </c>
      <c r="T15" s="168">
        <f t="shared" si="4"/>
        <v>4.5000000000000003E-5</v>
      </c>
      <c r="U15" s="97">
        <v>2.17</v>
      </c>
      <c r="V15" s="101">
        <f t="shared" si="5"/>
        <v>8.1007605143692174E-4</v>
      </c>
      <c r="W15" s="133">
        <f t="shared" si="6"/>
        <v>4.7359530900310511E-2</v>
      </c>
      <c r="X15" s="102">
        <v>2</v>
      </c>
      <c r="Y15" s="101" t="str">
        <f t="shared" si="7"/>
        <v>0.095</v>
      </c>
      <c r="Z15" s="131">
        <f t="shared" ref="Z15" si="26">IF(OR(MPE_X="-",Y15="-"),"-",3*Uk_X/MPE_X)</f>
        <v>0.21923076923076926</v>
      </c>
      <c r="AA15" s="105">
        <f t="shared" ref="AA15" si="27">A15</f>
        <v>1000</v>
      </c>
      <c r="AB15" s="103"/>
      <c r="AC15" s="113">
        <f t="shared" ref="AC15" si="28">SUM(AD15:AH15)</f>
        <v>0.99999999999999978</v>
      </c>
      <c r="AD15" s="113">
        <f t="shared" ref="AD15" si="29">D15^2/$W15^2</f>
        <v>0.47227447781249293</v>
      </c>
      <c r="AE15" s="113">
        <f t="shared" ref="AE15" si="30">E15^2/$W15^2</f>
        <v>0.28651089631831439</v>
      </c>
      <c r="AF15" s="113">
        <f t="shared" ref="AF15" si="31">H15/$W15^2</f>
        <v>0.24089469981029496</v>
      </c>
      <c r="AG15" s="113">
        <f t="shared" ref="AG15" si="32">L15^2/$W15^2</f>
        <v>2.735133605878007E-5</v>
      </c>
      <c r="AH15" s="113">
        <f t="shared" ref="AH15" si="33">V15^2/$W15^2</f>
        <v>2.9257472283876604E-4</v>
      </c>
    </row>
    <row r="16" spans="1:68" ht="17.100000000000001" customHeight="1" x14ac:dyDescent="0.25">
      <c r="A16" s="183">
        <v>1000</v>
      </c>
      <c r="B16" s="184">
        <f>VLOOKUP(Nom_X,'MPE Table'!$C$5:$AC$50,(HLOOKUP($A$5,'MPE Table'!$D$3:$AC$4,2,0)+1),0)</f>
        <v>1.3</v>
      </c>
      <c r="C16" s="98"/>
      <c r="D16" s="185">
        <f t="shared" si="0"/>
        <v>3.2546525345472047E-2</v>
      </c>
      <c r="E16" s="97">
        <v>2.5350000000000001E-2</v>
      </c>
      <c r="F16" s="185">
        <f t="shared" si="1"/>
        <v>4.1254076308450474E-2</v>
      </c>
      <c r="G16" s="187"/>
      <c r="H16" s="184">
        <f t="shared" si="2"/>
        <v>5.4030878482489982E-4</v>
      </c>
      <c r="I16" s="97">
        <v>0.99990000000000001</v>
      </c>
      <c r="J16" s="97">
        <v>1.00023</v>
      </c>
      <c r="K16" s="97">
        <v>0.99970999999999999</v>
      </c>
      <c r="L16" s="184">
        <f t="shared" si="3"/>
        <v>2.4768326548230553E-4</v>
      </c>
      <c r="M16" s="97">
        <v>7.9435000000000002</v>
      </c>
      <c r="N16" s="97">
        <v>2.5000000000000001E-2</v>
      </c>
      <c r="O16" s="97">
        <v>0.2</v>
      </c>
      <c r="P16" s="97">
        <v>1</v>
      </c>
      <c r="Q16" s="97">
        <v>0.11</v>
      </c>
      <c r="R16" s="97">
        <v>1.1413690000000001</v>
      </c>
      <c r="S16" s="184">
        <v>0</v>
      </c>
      <c r="T16" s="184">
        <f t="shared" si="4"/>
        <v>4.5000000000000003E-5</v>
      </c>
      <c r="U16" s="97">
        <v>2.17</v>
      </c>
      <c r="V16" s="184">
        <f t="shared" si="5"/>
        <v>8.1007605143692174E-4</v>
      </c>
      <c r="W16" s="184">
        <f t="shared" si="6"/>
        <v>4.7359530900310511E-2</v>
      </c>
      <c r="X16" s="102">
        <v>2</v>
      </c>
      <c r="Y16" s="184" t="str">
        <f t="shared" si="7"/>
        <v>0.095</v>
      </c>
      <c r="Z16" s="131">
        <f t="shared" si="8"/>
        <v>0.21923076923076926</v>
      </c>
      <c r="AA16" s="186">
        <f t="shared" si="9"/>
        <v>1000</v>
      </c>
      <c r="AB16" s="140"/>
      <c r="AC16" s="112">
        <f t="shared" si="10"/>
        <v>0.99999999999999978</v>
      </c>
      <c r="AD16" s="112">
        <f t="shared" si="11"/>
        <v>0.47227447781249293</v>
      </c>
      <c r="AE16" s="112">
        <f t="shared" si="12"/>
        <v>0.28651089631831439</v>
      </c>
      <c r="AF16" s="112">
        <f t="shared" si="13"/>
        <v>0.24089469981029496</v>
      </c>
      <c r="AG16" s="112">
        <f t="shared" si="14"/>
        <v>2.735133605878007E-5</v>
      </c>
      <c r="AH16" s="112">
        <f t="shared" si="15"/>
        <v>2.9257472283876604E-4</v>
      </c>
      <c r="AI16" s="66"/>
      <c r="AJ16" s="66"/>
      <c r="AK16" s="66"/>
    </row>
    <row r="17" spans="1:37" ht="17.100000000000001" customHeight="1" x14ac:dyDescent="0.25">
      <c r="A17" s="107">
        <v>500</v>
      </c>
      <c r="B17" s="169">
        <f>VLOOKUP(Nom_X,'MPE Table'!$C$5:$AC$50,(HLOOKUP($A$5,'MPE Table'!$D$3:$AC$4,2,0)+1),0)</f>
        <v>0.6</v>
      </c>
      <c r="C17" s="90"/>
      <c r="D17" s="91">
        <f t="shared" si="0"/>
        <v>1.6273262672736023E-2</v>
      </c>
      <c r="E17" s="89">
        <v>1.41E-2</v>
      </c>
      <c r="F17" s="92">
        <f t="shared" si="1"/>
        <v>2.1532047696767337E-2</v>
      </c>
      <c r="H17" s="93">
        <f t="shared" si="2"/>
        <v>2.4076024792302591E-5</v>
      </c>
      <c r="I17" s="89">
        <v>0.99891090909090929</v>
      </c>
      <c r="J17" s="89">
        <v>1.0015000000000001</v>
      </c>
      <c r="K17" s="89">
        <v>0.99453999999999998</v>
      </c>
      <c r="L17" s="93">
        <f t="shared" si="3"/>
        <v>1.5141273241439249E-3</v>
      </c>
      <c r="M17" s="89">
        <v>7.9820000000000002</v>
      </c>
      <c r="N17" s="89">
        <v>2.5000000000000001E-2</v>
      </c>
      <c r="O17" s="89">
        <v>0.2</v>
      </c>
      <c r="P17" s="89">
        <v>1</v>
      </c>
      <c r="Q17" s="89">
        <v>0.11</v>
      </c>
      <c r="R17" s="89">
        <v>1.175</v>
      </c>
      <c r="S17" s="94">
        <v>0</v>
      </c>
      <c r="T17" s="169">
        <f t="shared" si="4"/>
        <v>4.5000000000000003E-5</v>
      </c>
      <c r="U17" s="89">
        <v>2.23</v>
      </c>
      <c r="V17" s="94">
        <f t="shared" si="5"/>
        <v>4.264350534201031E-4</v>
      </c>
      <c r="W17" s="94">
        <f t="shared" si="6"/>
        <v>2.2139998446627559E-2</v>
      </c>
      <c r="X17" s="95">
        <v>2</v>
      </c>
      <c r="Y17" s="94" t="str">
        <f t="shared" si="7"/>
        <v>0.044</v>
      </c>
      <c r="Z17" s="130">
        <f t="shared" si="8"/>
        <v>0.22000000000000003</v>
      </c>
      <c r="AA17" s="107">
        <f t="shared" si="9"/>
        <v>500</v>
      </c>
      <c r="AC17" s="112">
        <f t="shared" si="10"/>
        <v>1.0000000000000002</v>
      </c>
      <c r="AD17" s="112">
        <f t="shared" si="11"/>
        <v>0.54024915597466561</v>
      </c>
      <c r="AE17" s="112">
        <f t="shared" si="12"/>
        <v>0.40558609109306398</v>
      </c>
      <c r="AF17" s="112">
        <f t="shared" si="13"/>
        <v>4.9116748576880968E-2</v>
      </c>
      <c r="AG17" s="112">
        <f t="shared" si="14"/>
        <v>4.6770242487050489E-3</v>
      </c>
      <c r="AH17" s="112">
        <f t="shared" si="15"/>
        <v>3.7098010668467854E-4</v>
      </c>
      <c r="AI17" s="66"/>
      <c r="AJ17" s="66"/>
      <c r="AK17" s="66"/>
    </row>
    <row r="18" spans="1:37" ht="17.100000000000001" customHeight="1" x14ac:dyDescent="0.25">
      <c r="A18" s="107">
        <v>300</v>
      </c>
      <c r="B18" s="169">
        <f>VLOOKUP(Nom_X,'MPE Table'!$C$5:$AC$50,(HLOOKUP($A$5,'MPE Table'!$D$3:$AC$4,2,0)+1),0)</f>
        <v>0.38</v>
      </c>
      <c r="C18" s="90"/>
      <c r="D18" s="91">
        <f t="shared" si="0"/>
        <v>9.7639576036416143E-3</v>
      </c>
      <c r="E18" s="89">
        <v>1.0970000000000001E-2</v>
      </c>
      <c r="F18" s="92">
        <f t="shared" si="1"/>
        <v>1.4685903720429019E-2</v>
      </c>
      <c r="H18" s="93">
        <f t="shared" si="2"/>
        <v>8.7148441547971468E-6</v>
      </c>
      <c r="I18" s="89">
        <v>0.99891090909090929</v>
      </c>
      <c r="J18" s="89">
        <v>1.0015000000000001</v>
      </c>
      <c r="K18" s="89">
        <v>0.99453999999999998</v>
      </c>
      <c r="L18" s="93">
        <f t="shared" si="3"/>
        <v>9.5894730529115253E-4</v>
      </c>
      <c r="M18" s="89">
        <v>7.9729999999999999</v>
      </c>
      <c r="N18" s="89">
        <v>2.5000000000000001E-2</v>
      </c>
      <c r="O18" s="89">
        <v>0.2</v>
      </c>
      <c r="P18" s="89">
        <v>1</v>
      </c>
      <c r="Q18" s="89">
        <v>0.11</v>
      </c>
      <c r="R18" s="89">
        <v>1.175</v>
      </c>
      <c r="S18" s="94">
        <v>0</v>
      </c>
      <c r="T18" s="169">
        <f t="shared" si="4"/>
        <v>4.5000000000000003E-5</v>
      </c>
      <c r="U18" s="89">
        <v>2.23</v>
      </c>
      <c r="V18" s="94">
        <f t="shared" si="5"/>
        <v>2.5614985047529886E-4</v>
      </c>
      <c r="W18" s="94">
        <f t="shared" si="6"/>
        <v>1.5012521604338551E-2</v>
      </c>
      <c r="X18" s="95">
        <v>2</v>
      </c>
      <c r="Y18" s="94" t="str">
        <f t="shared" si="7"/>
        <v>0.030</v>
      </c>
      <c r="Z18" s="130">
        <f t="shared" si="8"/>
        <v>0.23684210526315788</v>
      </c>
      <c r="AA18" s="107">
        <f t="shared" si="9"/>
        <v>300</v>
      </c>
      <c r="AC18" s="112">
        <f t="shared" si="10"/>
        <v>1</v>
      </c>
      <c r="AD18" s="112">
        <f t="shared" si="11"/>
        <v>0.42300400488527012</v>
      </c>
      <c r="AE18" s="112">
        <f t="shared" si="12"/>
        <v>0.53395660657684985</v>
      </c>
      <c r="AF18" s="112">
        <f t="shared" si="13"/>
        <v>3.8668055596572562E-2</v>
      </c>
      <c r="AG18" s="112">
        <f t="shared" si="14"/>
        <v>4.0802069887164415E-3</v>
      </c>
      <c r="AH18" s="112">
        <f t="shared" si="15"/>
        <v>2.9112595259102905E-4</v>
      </c>
      <c r="AI18" s="66"/>
      <c r="AJ18" s="66"/>
      <c r="AK18" s="66"/>
    </row>
    <row r="19" spans="1:37" ht="17.100000000000001" customHeight="1" x14ac:dyDescent="0.25">
      <c r="A19" s="107">
        <v>200</v>
      </c>
      <c r="B19" s="169">
        <f>VLOOKUP(Nom_X,'MPE Table'!$C$5:$AC$50,(HLOOKUP($A$5,'MPE Table'!$D$3:$AC$4,2,0)+1),0)</f>
        <v>0.25</v>
      </c>
      <c r="C19" s="90"/>
      <c r="D19" s="91">
        <f t="shared" si="0"/>
        <v>6.5093050690944098E-3</v>
      </c>
      <c r="E19" s="89">
        <v>8.6300000000000005E-3</v>
      </c>
      <c r="F19" s="92">
        <f t="shared" si="1"/>
        <v>1.0809623142484579E-2</v>
      </c>
      <c r="H19" s="93">
        <f t="shared" si="2"/>
        <v>3.843294381481611E-6</v>
      </c>
      <c r="I19" s="89">
        <v>0.99891090909090929</v>
      </c>
      <c r="J19" s="89">
        <v>1.0015000000000001</v>
      </c>
      <c r="K19" s="89">
        <v>0.99453999999999998</v>
      </c>
      <c r="L19" s="93">
        <f t="shared" si="3"/>
        <v>6.3088638505996871E-4</v>
      </c>
      <c r="M19" s="89">
        <v>7.9859999999999998</v>
      </c>
      <c r="N19" s="89">
        <v>2.5000000000000001E-2</v>
      </c>
      <c r="O19" s="89">
        <v>0.2</v>
      </c>
      <c r="P19" s="89">
        <v>1</v>
      </c>
      <c r="Q19" s="89">
        <v>0.11</v>
      </c>
      <c r="R19" s="89">
        <v>1.175</v>
      </c>
      <c r="S19" s="94">
        <v>0</v>
      </c>
      <c r="T19" s="169">
        <f t="shared" si="4"/>
        <v>4.5000000000000003E-5</v>
      </c>
      <c r="U19" s="89">
        <v>2.23</v>
      </c>
      <c r="V19" s="94">
        <f t="shared" si="5"/>
        <v>1.7048858484343922E-4</v>
      </c>
      <c r="W19" s="94">
        <f t="shared" si="6"/>
        <v>1.100537736074669E-2</v>
      </c>
      <c r="X19" s="95">
        <v>2</v>
      </c>
      <c r="Y19" s="94" t="str">
        <f t="shared" si="7"/>
        <v>0.022</v>
      </c>
      <c r="Z19" s="130">
        <f t="shared" si="8"/>
        <v>0.26400000000000001</v>
      </c>
      <c r="AA19" s="107">
        <f t="shared" si="9"/>
        <v>200</v>
      </c>
      <c r="AC19" s="112">
        <f t="shared" si="10"/>
        <v>0.99999999999999978</v>
      </c>
      <c r="AD19" s="112">
        <f t="shared" si="11"/>
        <v>0.34983187255247805</v>
      </c>
      <c r="AE19" s="112">
        <f t="shared" si="12"/>
        <v>0.61491022437172416</v>
      </c>
      <c r="AF19" s="112">
        <f t="shared" si="13"/>
        <v>3.173173172411102E-2</v>
      </c>
      <c r="AG19" s="112">
        <f t="shared" si="14"/>
        <v>3.2861882099329701E-3</v>
      </c>
      <c r="AH19" s="112">
        <f t="shared" si="15"/>
        <v>2.3998314175359219E-4</v>
      </c>
      <c r="AI19" s="66"/>
      <c r="AJ19" s="66"/>
      <c r="AK19" s="66"/>
    </row>
    <row r="20" spans="1:37" s="104" customFormat="1" ht="17.100000000000001" customHeight="1" x14ac:dyDescent="0.25">
      <c r="A20" s="108">
        <v>100</v>
      </c>
      <c r="B20" s="168">
        <f>VLOOKUP(Nom_X,'MPE Table'!$C$5:$AC$50,(HLOOKUP($A$5,'MPE Table'!$D$3:$AC$4,2,0)+1),0)</f>
        <v>0.13</v>
      </c>
      <c r="C20" s="98"/>
      <c r="D20" s="106">
        <f t="shared" si="0"/>
        <v>3.2546525345472049E-3</v>
      </c>
      <c r="E20" s="97">
        <v>9.7400000000000004E-3</v>
      </c>
      <c r="F20" s="99">
        <f t="shared" si="1"/>
        <v>1.0269389617724832E-2</v>
      </c>
      <c r="H20" s="100">
        <f t="shared" si="2"/>
        <v>9.823908218133121E-7</v>
      </c>
      <c r="I20" s="97">
        <v>0.99891090909090929</v>
      </c>
      <c r="J20" s="97">
        <v>1.0015000000000001</v>
      </c>
      <c r="K20" s="97">
        <v>0.99453999999999998</v>
      </c>
      <c r="L20" s="100">
        <f t="shared" ref="L20" si="34">IF(B20="-","-",MAX(ABS(J20-I20)/10^(ROUND(LOG(I20),1)),ABS(K20-I20)/10^(ROUND(LOG(I20),1)))*B20/SQRT(3))</f>
        <v>3.2806092023118376E-4</v>
      </c>
      <c r="M20" s="97">
        <v>7.9516999999999998</v>
      </c>
      <c r="N20" s="97">
        <v>2.5000000000000001E-2</v>
      </c>
      <c r="O20" s="97">
        <v>0.2</v>
      </c>
      <c r="P20" s="97">
        <v>1</v>
      </c>
      <c r="Q20" s="97">
        <v>0.11</v>
      </c>
      <c r="R20" s="97">
        <v>1.175</v>
      </c>
      <c r="S20" s="101">
        <v>0</v>
      </c>
      <c r="T20" s="168">
        <f t="shared" si="4"/>
        <v>4.5000000000000003E-5</v>
      </c>
      <c r="U20" s="97">
        <v>2.23</v>
      </c>
      <c r="V20" s="101">
        <f t="shared" si="5"/>
        <v>8.5611997343945675E-5</v>
      </c>
      <c r="W20" s="133">
        <f t="shared" si="6"/>
        <v>1.0322679270611871E-2</v>
      </c>
      <c r="X20" s="102">
        <v>2</v>
      </c>
      <c r="Y20" s="101" t="str">
        <f t="shared" si="7"/>
        <v>0.021</v>
      </c>
      <c r="Z20" s="131">
        <f t="shared" ref="Z20" si="35">IF(OR(MPE_X="-",Y20="-"),"-",3*Uk_X/MPE_X)</f>
        <v>0.48461538461538461</v>
      </c>
      <c r="AA20" s="108">
        <f t="shared" ref="AA20" si="36">A20</f>
        <v>100</v>
      </c>
      <c r="AB20" s="103"/>
      <c r="AC20" s="113">
        <f t="shared" ref="AC20" si="37">SUM(AD20:AH20)</f>
        <v>0.99999999999999989</v>
      </c>
      <c r="AD20" s="113">
        <f t="shared" ref="AD20" si="38">D20^2/$W20^2</f>
        <v>9.94086996300894E-2</v>
      </c>
      <c r="AE20" s="113">
        <f t="shared" ref="AE20" si="39">E20^2/$W20^2</f>
        <v>0.89029317899658089</v>
      </c>
      <c r="AF20" s="113">
        <f t="shared" ref="AF20" si="40">H20/$W20^2</f>
        <v>9.2193314447634091E-3</v>
      </c>
      <c r="AG20" s="113">
        <f t="shared" ref="AG20" si="41">L20^2/$W20^2</f>
        <v>1.0100064095389159E-3</v>
      </c>
      <c r="AH20" s="113">
        <f t="shared" ref="AH20" si="42">V20^2/$W20^2</f>
        <v>6.8783519027294771E-5</v>
      </c>
    </row>
    <row r="21" spans="1:37" ht="17.100000000000001" customHeight="1" x14ac:dyDescent="0.25">
      <c r="A21" s="183">
        <v>100</v>
      </c>
      <c r="B21" s="184">
        <f>VLOOKUP(Nom_X,'MPE Table'!$C$5:$AC$50,(HLOOKUP($A$5,'MPE Table'!$D$3:$AC$4,2,0)+1),0)</f>
        <v>0.13</v>
      </c>
      <c r="C21" s="98"/>
      <c r="D21" s="185">
        <f t="shared" si="0"/>
        <v>3.2546525345472049E-3</v>
      </c>
      <c r="E21" s="97">
        <v>9.7400000000000004E-3</v>
      </c>
      <c r="F21" s="185">
        <f t="shared" si="1"/>
        <v>1.0269389617724832E-2</v>
      </c>
      <c r="G21" s="187"/>
      <c r="H21" s="184">
        <f t="shared" si="2"/>
        <v>9.823908218133121E-7</v>
      </c>
      <c r="I21" s="97">
        <v>0.99891090909090929</v>
      </c>
      <c r="J21" s="97">
        <v>1.0015000000000001</v>
      </c>
      <c r="K21" s="97">
        <v>0.99453999999999998</v>
      </c>
      <c r="L21" s="184">
        <f t="shared" si="3"/>
        <v>3.2806092023118376E-4</v>
      </c>
      <c r="M21" s="97">
        <v>7.9516999999999998</v>
      </c>
      <c r="N21" s="97">
        <v>2.5000000000000001E-2</v>
      </c>
      <c r="O21" s="97">
        <v>0.2</v>
      </c>
      <c r="P21" s="97">
        <v>1</v>
      </c>
      <c r="Q21" s="97">
        <v>0.11</v>
      </c>
      <c r="R21" s="97">
        <v>1.175</v>
      </c>
      <c r="S21" s="184">
        <v>0</v>
      </c>
      <c r="T21" s="184">
        <f t="shared" si="4"/>
        <v>4.5000000000000003E-5</v>
      </c>
      <c r="U21" s="97">
        <v>2.23</v>
      </c>
      <c r="V21" s="184">
        <f t="shared" si="5"/>
        <v>8.5611997343945675E-5</v>
      </c>
      <c r="W21" s="184">
        <f t="shared" si="6"/>
        <v>1.0322679270611871E-2</v>
      </c>
      <c r="X21" s="102">
        <v>2</v>
      </c>
      <c r="Y21" s="184" t="str">
        <f t="shared" si="7"/>
        <v>0.021</v>
      </c>
      <c r="Z21" s="131">
        <f t="shared" si="8"/>
        <v>0.48461538461538461</v>
      </c>
      <c r="AA21" s="186">
        <f t="shared" si="9"/>
        <v>100</v>
      </c>
      <c r="AB21" s="140"/>
      <c r="AC21" s="112">
        <f t="shared" si="10"/>
        <v>0.99999999999999989</v>
      </c>
      <c r="AD21" s="112">
        <f t="shared" si="11"/>
        <v>9.94086996300894E-2</v>
      </c>
      <c r="AE21" s="112">
        <f t="shared" si="12"/>
        <v>0.89029317899658089</v>
      </c>
      <c r="AF21" s="112">
        <f t="shared" si="13"/>
        <v>9.2193314447634091E-3</v>
      </c>
      <c r="AG21" s="112">
        <f t="shared" si="14"/>
        <v>1.0100064095389159E-3</v>
      </c>
      <c r="AH21" s="112">
        <f t="shared" si="15"/>
        <v>6.8783519027294771E-5</v>
      </c>
      <c r="AI21" s="66"/>
      <c r="AJ21" s="66"/>
      <c r="AK21" s="66"/>
    </row>
    <row r="22" spans="1:37" ht="17.100000000000001" customHeight="1" x14ac:dyDescent="0.25">
      <c r="A22" s="107">
        <v>50</v>
      </c>
      <c r="B22" s="169">
        <f>VLOOKUP(Nom_X,'MPE Table'!$C$5:$AC$50,(HLOOKUP($A$5,'MPE Table'!$D$3:$AC$4,2,0)+1),0)</f>
        <v>0.06</v>
      </c>
      <c r="C22" s="90"/>
      <c r="D22" s="83">
        <f t="shared" si="0"/>
        <v>1.6273262672736025E-3</v>
      </c>
      <c r="E22" s="89">
        <v>5.0099999999999997E-3</v>
      </c>
      <c r="F22" s="92">
        <f t="shared" si="1"/>
        <v>5.2676646419602905E-3</v>
      </c>
      <c r="H22" s="93">
        <f t="shared" si="2"/>
        <v>2.7882027163410452E-7</v>
      </c>
      <c r="I22" s="89">
        <v>0.99999909090909067</v>
      </c>
      <c r="J22" s="89">
        <v>1.0002500000000001</v>
      </c>
      <c r="K22" s="89">
        <v>0.99980000000000002</v>
      </c>
      <c r="L22" s="93">
        <f t="shared" si="3"/>
        <v>8.691745870720415E-6</v>
      </c>
      <c r="M22" s="89">
        <v>7.9690000000000003</v>
      </c>
      <c r="N22" s="89">
        <v>2.5000000000000001E-2</v>
      </c>
      <c r="O22" s="89">
        <v>0.2</v>
      </c>
      <c r="P22" s="89">
        <v>1</v>
      </c>
      <c r="Q22" s="89">
        <v>0.11</v>
      </c>
      <c r="R22" s="89">
        <v>1.1732</v>
      </c>
      <c r="S22" s="94">
        <v>0</v>
      </c>
      <c r="T22" s="169">
        <f t="shared" si="4"/>
        <v>4.5000000000000003E-5</v>
      </c>
      <c r="U22" s="89">
        <v>2.2999999999999998</v>
      </c>
      <c r="V22" s="94">
        <f t="shared" si="5"/>
        <v>4.3986352902919651E-5</v>
      </c>
      <c r="W22" s="94">
        <f t="shared" si="6"/>
        <v>5.294253620434208E-3</v>
      </c>
      <c r="X22" s="95">
        <v>2</v>
      </c>
      <c r="Y22" s="94" t="str">
        <f t="shared" si="7"/>
        <v>0.011</v>
      </c>
      <c r="Z22" s="130">
        <f t="shared" si="8"/>
        <v>0.55000000000000004</v>
      </c>
      <c r="AA22" s="107">
        <f t="shared" si="9"/>
        <v>50</v>
      </c>
      <c r="AC22" s="112">
        <f t="shared" si="10"/>
        <v>1</v>
      </c>
      <c r="AD22" s="112">
        <f t="shared" si="11"/>
        <v>9.4479978255638711E-2</v>
      </c>
      <c r="AE22" s="112">
        <f t="shared" si="12"/>
        <v>0.89550077735422751</v>
      </c>
      <c r="AF22" s="112">
        <f t="shared" si="13"/>
        <v>9.9475209258312706E-3</v>
      </c>
      <c r="AG22" s="112">
        <f t="shared" si="14"/>
        <v>2.6952841371608446E-6</v>
      </c>
      <c r="AH22" s="112">
        <f t="shared" si="15"/>
        <v>6.9028180165293712E-5</v>
      </c>
      <c r="AI22" s="66"/>
      <c r="AJ22" s="66"/>
      <c r="AK22" s="66"/>
    </row>
    <row r="23" spans="1:37" ht="17.100000000000001" customHeight="1" x14ac:dyDescent="0.25">
      <c r="A23" s="107">
        <v>30</v>
      </c>
      <c r="B23" s="169">
        <f>VLOOKUP(Nom_X,'MPE Table'!$C$5:$AC$50,(HLOOKUP($A$5,'MPE Table'!$D$3:$AC$4,2,0)+1),0)</f>
        <v>3.6999999999999998E-2</v>
      </c>
      <c r="C23" s="90"/>
      <c r="D23" s="91">
        <f t="shared" si="0"/>
        <v>9.7639576036416152E-4</v>
      </c>
      <c r="E23" s="89">
        <v>3.15E-3</v>
      </c>
      <c r="F23" s="92">
        <f t="shared" si="1"/>
        <v>3.297855163717338E-3</v>
      </c>
      <c r="H23" s="93">
        <f t="shared" si="2"/>
        <v>1.0018831622778642E-7</v>
      </c>
      <c r="I23" s="89">
        <v>0.99999909090909067</v>
      </c>
      <c r="J23" s="89">
        <v>1.0002500000000001</v>
      </c>
      <c r="K23" s="89">
        <v>0.99980000000000002</v>
      </c>
      <c r="L23" s="93">
        <f t="shared" si="3"/>
        <v>5.3599099536109226E-6</v>
      </c>
      <c r="M23" s="89">
        <v>7.9720000000000004</v>
      </c>
      <c r="N23" s="89">
        <v>2.5000000000000001E-2</v>
      </c>
      <c r="O23" s="89">
        <v>0.2</v>
      </c>
      <c r="P23" s="89">
        <v>1</v>
      </c>
      <c r="Q23" s="89">
        <v>0.11</v>
      </c>
      <c r="R23" s="89">
        <v>1.1732</v>
      </c>
      <c r="S23" s="94">
        <v>0</v>
      </c>
      <c r="T23" s="169">
        <f t="shared" si="4"/>
        <v>4.5000000000000003E-5</v>
      </c>
      <c r="U23" s="89">
        <v>2.2999999999999998</v>
      </c>
      <c r="V23" s="94">
        <f t="shared" si="5"/>
        <v>2.6381880051432516E-5</v>
      </c>
      <c r="W23" s="94">
        <f t="shared" si="6"/>
        <v>3.3131196370361658E-3</v>
      </c>
      <c r="X23" s="95">
        <v>2</v>
      </c>
      <c r="Y23" s="94" t="str">
        <f t="shared" si="7"/>
        <v>0.0066</v>
      </c>
      <c r="Z23" s="130">
        <f t="shared" si="8"/>
        <v>0.53513513513513511</v>
      </c>
      <c r="AA23" s="107">
        <f t="shared" si="9"/>
        <v>30</v>
      </c>
      <c r="AC23" s="112">
        <f t="shared" si="10"/>
        <v>1.0000000000000002</v>
      </c>
      <c r="AD23" s="112">
        <f t="shared" si="11"/>
        <v>8.6851541863306209E-2</v>
      </c>
      <c r="AE23" s="112">
        <f t="shared" si="12"/>
        <v>0.90395512307613168</v>
      </c>
      <c r="AF23" s="112">
        <f t="shared" si="13"/>
        <v>9.1273108315927508E-3</v>
      </c>
      <c r="AG23" s="112">
        <f t="shared" si="14"/>
        <v>2.617223131854493E-6</v>
      </c>
      <c r="AH23" s="112">
        <f t="shared" si="15"/>
        <v>6.3407005837561227E-5</v>
      </c>
      <c r="AI23" s="66"/>
      <c r="AJ23" s="66"/>
      <c r="AK23" s="66"/>
    </row>
    <row r="24" spans="1:37" ht="17.100000000000001" customHeight="1" x14ac:dyDescent="0.25">
      <c r="A24" s="107">
        <v>20</v>
      </c>
      <c r="B24" s="169">
        <f>VLOOKUP(Nom_X,'MPE Table'!$C$5:$AC$50,(HLOOKUP($A$5,'MPE Table'!$D$3:$AC$4,2,0)+1),0)</f>
        <v>3.6999999999999998E-2</v>
      </c>
      <c r="C24" s="90"/>
      <c r="D24" s="91">
        <f t="shared" si="0"/>
        <v>6.5093050690944094E-4</v>
      </c>
      <c r="E24" s="89">
        <v>2.2799999999999999E-3</v>
      </c>
      <c r="F24" s="92">
        <f t="shared" si="1"/>
        <v>2.3710990120248839E-3</v>
      </c>
      <c r="H24" s="93">
        <f t="shared" si="2"/>
        <v>4.4315231822115158E-8</v>
      </c>
      <c r="I24" s="89">
        <v>0.99999909090909067</v>
      </c>
      <c r="J24" s="89">
        <v>1.0002500000000001</v>
      </c>
      <c r="K24" s="89">
        <v>0.99980000000000002</v>
      </c>
      <c r="L24" s="93">
        <f t="shared" si="3"/>
        <v>5.3599099536109226E-6</v>
      </c>
      <c r="M24" s="89">
        <v>7.98</v>
      </c>
      <c r="N24" s="89">
        <v>2.5000000000000001E-2</v>
      </c>
      <c r="O24" s="89">
        <v>0.2</v>
      </c>
      <c r="P24" s="89">
        <v>1</v>
      </c>
      <c r="Q24" s="89">
        <v>0.11</v>
      </c>
      <c r="R24" s="89">
        <v>1.1732</v>
      </c>
      <c r="S24" s="94">
        <v>0</v>
      </c>
      <c r="T24" s="169">
        <f t="shared" si="4"/>
        <v>4.5000000000000003E-5</v>
      </c>
      <c r="U24" s="89">
        <v>2.2999999999999998</v>
      </c>
      <c r="V24" s="94">
        <f t="shared" si="5"/>
        <v>1.7570288034253969E-5</v>
      </c>
      <c r="W24" s="94">
        <f t="shared" si="6"/>
        <v>2.3804964188806951E-3</v>
      </c>
      <c r="X24" s="95">
        <v>2</v>
      </c>
      <c r="Y24" s="94" t="str">
        <f t="shared" si="7"/>
        <v>0.0048</v>
      </c>
      <c r="Z24" s="130">
        <f t="shared" si="8"/>
        <v>0.38918918918918921</v>
      </c>
      <c r="AA24" s="107">
        <f t="shared" si="9"/>
        <v>20</v>
      </c>
      <c r="AC24" s="112">
        <f t="shared" si="10"/>
        <v>0.99999999999999989</v>
      </c>
      <c r="AD24" s="112">
        <f t="shared" si="11"/>
        <v>7.4771171804508305E-2</v>
      </c>
      <c r="AE24" s="112">
        <f t="shared" si="12"/>
        <v>0.91734907852180869</v>
      </c>
      <c r="AF24" s="112">
        <f t="shared" si="13"/>
        <v>7.8202018075749606E-3</v>
      </c>
      <c r="AG24" s="112">
        <f t="shared" si="14"/>
        <v>5.069672702977461E-6</v>
      </c>
      <c r="AH24" s="112">
        <f t="shared" si="15"/>
        <v>5.4478193405028283E-5</v>
      </c>
      <c r="AI24" s="66"/>
      <c r="AJ24" s="66"/>
      <c r="AK24" s="66"/>
    </row>
    <row r="25" spans="1:37" s="104" customFormat="1" ht="17.100000000000001" customHeight="1" x14ac:dyDescent="0.25">
      <c r="A25" s="108">
        <v>10</v>
      </c>
      <c r="B25" s="168">
        <f>VLOOKUP(Nom_X,'MPE Table'!$C$5:$AC$50,(HLOOKUP($A$5,'MPE Table'!$D$3:$AC$4,2,0)+1),0)</f>
        <v>2.5000000000000001E-2</v>
      </c>
      <c r="C25" s="98"/>
      <c r="D25" s="106">
        <f t="shared" si="0"/>
        <v>3.2546525345472047E-4</v>
      </c>
      <c r="E25" s="97">
        <v>1.75E-3</v>
      </c>
      <c r="F25" s="99">
        <f t="shared" si="1"/>
        <v>1.7800077615578943E-3</v>
      </c>
      <c r="H25" s="100">
        <f t="shared" si="2"/>
        <v>1.1132035136420714E-8</v>
      </c>
      <c r="I25" s="97">
        <v>0.99999909090909067</v>
      </c>
      <c r="J25" s="97">
        <v>1.0002500000000001</v>
      </c>
      <c r="K25" s="97">
        <v>0.99980000000000002</v>
      </c>
      <c r="L25" s="100">
        <f t="shared" ref="L25" si="43">IF(B25="-","-",MAX(ABS(J25-I25)/10^(ROUND(LOG(I25),1)),ABS(K25-I25)/10^(ROUND(LOG(I25),1)))*B25/SQRT(3))</f>
        <v>3.62156077946684E-6</v>
      </c>
      <c r="M25" s="97">
        <v>7.9720000000000004</v>
      </c>
      <c r="N25" s="97">
        <v>2.5000000000000001E-2</v>
      </c>
      <c r="O25" s="97">
        <v>0.2</v>
      </c>
      <c r="P25" s="97">
        <v>1</v>
      </c>
      <c r="Q25" s="97">
        <v>0.11</v>
      </c>
      <c r="R25" s="97">
        <v>1.1732</v>
      </c>
      <c r="S25" s="101">
        <v>0</v>
      </c>
      <c r="T25" s="168">
        <f t="shared" si="4"/>
        <v>4.5000000000000003E-5</v>
      </c>
      <c r="U25" s="97">
        <v>2.2999999999999998</v>
      </c>
      <c r="V25" s="101">
        <f t="shared" si="5"/>
        <v>8.7939600171441719E-6</v>
      </c>
      <c r="W25" s="133">
        <f t="shared" si="6"/>
        <v>1.7831573446496606E-3</v>
      </c>
      <c r="X25" s="102">
        <v>2</v>
      </c>
      <c r="Y25" s="101" t="str">
        <f t="shared" si="7"/>
        <v>0.0036</v>
      </c>
      <c r="Z25" s="131">
        <f t="shared" ref="Z25" si="44">IF(OR(MPE_X="-",Y25="-"),"-",3*Uk_X/MPE_X)</f>
        <v>0.432</v>
      </c>
      <c r="AA25" s="108">
        <f t="shared" ref="AA25" si="45">A25</f>
        <v>10</v>
      </c>
      <c r="AB25" s="103"/>
      <c r="AC25" s="113">
        <f t="shared" ref="AC25" si="46">SUM(AD25:AH25)</f>
        <v>1</v>
      </c>
      <c r="AD25" s="113">
        <f t="shared" ref="AD25" si="47">D25^2/$W25^2</f>
        <v>3.3314241299919251E-2</v>
      </c>
      <c r="AE25" s="113">
        <f t="shared" ref="AE25" si="48">E25^2/$W25^2</f>
        <v>0.96315628716609181</v>
      </c>
      <c r="AF25" s="113">
        <f t="shared" ref="AF25" si="49">H25/$W25^2</f>
        <v>3.5010251855012091E-3</v>
      </c>
      <c r="AG25" s="113">
        <f t="shared" ref="AG25" si="50">L25^2/$W25^2</f>
        <v>4.1248885889330574E-6</v>
      </c>
      <c r="AH25" s="113">
        <f t="shared" ref="AH25" si="51">V25^2/$W25^2</f>
        <v>2.4321459898806361E-5</v>
      </c>
    </row>
    <row r="26" spans="1:37" ht="17.100000000000001" customHeight="1" x14ac:dyDescent="0.25">
      <c r="A26" s="183">
        <v>10</v>
      </c>
      <c r="B26" s="184">
        <f>VLOOKUP(Nom_X,'MPE Table'!$C$5:$AC$50,(HLOOKUP($A$5,'MPE Table'!$D$3:$AC$4,2,0)+1),0)</f>
        <v>2.5000000000000001E-2</v>
      </c>
      <c r="C26" s="98"/>
      <c r="D26" s="185">
        <f t="shared" si="0"/>
        <v>3.2546525345472047E-4</v>
      </c>
      <c r="E26" s="97">
        <v>1.75E-3</v>
      </c>
      <c r="F26" s="185">
        <f t="shared" si="1"/>
        <v>1.7800077615578943E-3</v>
      </c>
      <c r="G26" s="187"/>
      <c r="H26" s="184">
        <f t="shared" si="2"/>
        <v>1.1132035136420714E-8</v>
      </c>
      <c r="I26" s="97">
        <v>0.99999909090909067</v>
      </c>
      <c r="J26" s="97">
        <v>1.0002500000000001</v>
      </c>
      <c r="K26" s="97">
        <v>0.99980000000000002</v>
      </c>
      <c r="L26" s="184">
        <f t="shared" si="3"/>
        <v>3.62156077946684E-6</v>
      </c>
      <c r="M26" s="97">
        <v>7.9720000000000004</v>
      </c>
      <c r="N26" s="97">
        <v>2.5000000000000001E-2</v>
      </c>
      <c r="O26" s="97">
        <v>0.2</v>
      </c>
      <c r="P26" s="97">
        <v>1</v>
      </c>
      <c r="Q26" s="97">
        <v>0.11</v>
      </c>
      <c r="R26" s="97">
        <v>1.1732</v>
      </c>
      <c r="S26" s="184">
        <v>0</v>
      </c>
      <c r="T26" s="184">
        <f t="shared" si="4"/>
        <v>4.5000000000000003E-5</v>
      </c>
      <c r="U26" s="97">
        <v>2.2999999999999998</v>
      </c>
      <c r="V26" s="184">
        <f t="shared" si="5"/>
        <v>8.7939600171441719E-6</v>
      </c>
      <c r="W26" s="184">
        <f t="shared" si="6"/>
        <v>1.7831573446496606E-3</v>
      </c>
      <c r="X26" s="102">
        <v>2</v>
      </c>
      <c r="Y26" s="184" t="str">
        <f t="shared" si="7"/>
        <v>0.0036</v>
      </c>
      <c r="Z26" s="131">
        <f t="shared" si="8"/>
        <v>0.432</v>
      </c>
      <c r="AA26" s="186">
        <f t="shared" si="9"/>
        <v>10</v>
      </c>
      <c r="AB26" s="140"/>
      <c r="AC26" s="112">
        <f t="shared" si="10"/>
        <v>1</v>
      </c>
      <c r="AD26" s="112">
        <f t="shared" si="11"/>
        <v>3.3314241299919251E-2</v>
      </c>
      <c r="AE26" s="112">
        <f t="shared" si="12"/>
        <v>0.96315628716609181</v>
      </c>
      <c r="AF26" s="112">
        <f t="shared" si="13"/>
        <v>3.5010251855012091E-3</v>
      </c>
      <c r="AG26" s="112">
        <f t="shared" si="14"/>
        <v>4.1248885889330574E-6</v>
      </c>
      <c r="AH26" s="112">
        <f t="shared" si="15"/>
        <v>2.4321459898806361E-5</v>
      </c>
      <c r="AI26" s="66"/>
      <c r="AJ26" s="66"/>
      <c r="AK26" s="66"/>
    </row>
    <row r="27" spans="1:37" ht="17.100000000000001" customHeight="1" x14ac:dyDescent="0.25">
      <c r="A27" s="107">
        <v>5</v>
      </c>
      <c r="B27" s="169">
        <f>VLOOKUP(Nom_X,'MPE Table'!$C$5:$AC$50,(HLOOKUP($A$5,'MPE Table'!$D$3:$AC$4,2,0)+1),0)</f>
        <v>1.7000000000000001E-2</v>
      </c>
      <c r="C27" s="90"/>
      <c r="D27" s="83">
        <f t="shared" si="0"/>
        <v>1.6273262672736023E-4</v>
      </c>
      <c r="E27" s="89">
        <v>1.01E-3</v>
      </c>
      <c r="F27" s="92">
        <f t="shared" si="1"/>
        <v>1.0230258588137381E-3</v>
      </c>
      <c r="H27" s="93">
        <f t="shared" si="2"/>
        <v>2.6616502025883903E-9</v>
      </c>
      <c r="I27" s="89">
        <v>1.0002727272727272</v>
      </c>
      <c r="J27" s="89">
        <v>1.00068</v>
      </c>
      <c r="K27" s="89">
        <v>0.99987999999999999</v>
      </c>
      <c r="L27" s="93">
        <f t="shared" si="3"/>
        <v>3.9973633183173648E-6</v>
      </c>
      <c r="M27" s="89">
        <v>7.9710000000000001</v>
      </c>
      <c r="N27" s="89">
        <v>2.5000000000000001E-2</v>
      </c>
      <c r="O27" s="89">
        <v>0.2</v>
      </c>
      <c r="P27" s="89">
        <v>1</v>
      </c>
      <c r="Q27" s="89">
        <v>0.11</v>
      </c>
      <c r="R27" s="89">
        <v>1.1738</v>
      </c>
      <c r="S27" s="94">
        <v>0</v>
      </c>
      <c r="T27" s="169">
        <f t="shared" si="4"/>
        <v>4.5000000000000003E-5</v>
      </c>
      <c r="U27" s="89">
        <v>2.2000000000000002</v>
      </c>
      <c r="V27" s="94">
        <f t="shared" si="5"/>
        <v>4.2084858142957907E-6</v>
      </c>
      <c r="W27" s="94">
        <f t="shared" si="6"/>
        <v>1.0243423491540916E-3</v>
      </c>
      <c r="X27" s="95">
        <v>2</v>
      </c>
      <c r="Y27" s="94" t="str">
        <f t="shared" si="7"/>
        <v>0.0020</v>
      </c>
      <c r="Z27" s="130">
        <f t="shared" si="8"/>
        <v>0.3529411764705882</v>
      </c>
      <c r="AA27" s="107">
        <f t="shared" si="9"/>
        <v>5</v>
      </c>
      <c r="AC27" s="112">
        <f t="shared" si="10"/>
        <v>0.99999999999999978</v>
      </c>
      <c r="AD27" s="112">
        <f t="shared" si="11"/>
        <v>2.5238236934266238E-2</v>
      </c>
      <c r="AE27" s="112">
        <f t="shared" si="12"/>
        <v>0.97219300397619945</v>
      </c>
      <c r="AF27" s="112">
        <f t="shared" si="13"/>
        <v>2.5366510204766855E-3</v>
      </c>
      <c r="AG27" s="112">
        <f t="shared" si="14"/>
        <v>1.5228495161756865E-5</v>
      </c>
      <c r="AH27" s="112">
        <f t="shared" si="15"/>
        <v>1.6879573895575968E-5</v>
      </c>
      <c r="AI27" s="66"/>
      <c r="AJ27" s="66"/>
      <c r="AK27" s="66"/>
    </row>
    <row r="28" spans="1:37" ht="17.100000000000001" customHeight="1" x14ac:dyDescent="0.25">
      <c r="A28" s="107">
        <v>3</v>
      </c>
      <c r="B28" s="169">
        <f>VLOOKUP(Nom_X,'MPE Table'!$C$5:$AC$50,(HLOOKUP($A$5,'MPE Table'!$D$3:$AC$4,2,0)+1),0)</f>
        <v>1.7000000000000001E-2</v>
      </c>
      <c r="C28" s="90"/>
      <c r="D28" s="91">
        <f t="shared" si="0"/>
        <v>9.7639576036416149E-5</v>
      </c>
      <c r="E28" s="89">
        <v>7.2999999999999996E-4</v>
      </c>
      <c r="F28" s="92">
        <f t="shared" si="1"/>
        <v>7.3650083965231909E-4</v>
      </c>
      <c r="H28" s="93">
        <f t="shared" si="2"/>
        <v>1.0884556197668661E-9</v>
      </c>
      <c r="I28" s="89">
        <v>1.0002727272727272</v>
      </c>
      <c r="J28" s="89">
        <v>1.00068</v>
      </c>
      <c r="K28" s="89">
        <v>0.99987999999999999</v>
      </c>
      <c r="L28" s="93">
        <f t="shared" si="3"/>
        <v>3.9973633183173648E-6</v>
      </c>
      <c r="M28" s="89">
        <v>7.83</v>
      </c>
      <c r="N28" s="89">
        <v>2.5000000000000001E-2</v>
      </c>
      <c r="O28" s="89">
        <v>0.2</v>
      </c>
      <c r="P28" s="89">
        <v>1</v>
      </c>
      <c r="Q28" s="89">
        <v>0.11</v>
      </c>
      <c r="R28" s="89">
        <v>1.1738</v>
      </c>
      <c r="S28" s="94">
        <v>0</v>
      </c>
      <c r="T28" s="169">
        <f t="shared" si="4"/>
        <v>4.5000000000000003E-5</v>
      </c>
      <c r="U28" s="89">
        <v>2.2000000000000002</v>
      </c>
      <c r="V28" s="94">
        <f t="shared" si="5"/>
        <v>2.5705624847319346E-6</v>
      </c>
      <c r="W28" s="94">
        <f t="shared" si="6"/>
        <v>7.3725472472770516E-4</v>
      </c>
      <c r="X28" s="95">
        <v>2</v>
      </c>
      <c r="Y28" s="94" t="str">
        <f t="shared" si="7"/>
        <v>0.0015</v>
      </c>
      <c r="Z28" s="130">
        <f t="shared" si="8"/>
        <v>0.26470588235294118</v>
      </c>
      <c r="AA28" s="107">
        <f t="shared" si="9"/>
        <v>3</v>
      </c>
      <c r="AC28" s="112">
        <f t="shared" si="10"/>
        <v>1.0000000000000004</v>
      </c>
      <c r="AD28" s="112">
        <f t="shared" si="11"/>
        <v>1.7539477076095551E-2</v>
      </c>
      <c r="AE28" s="112">
        <f t="shared" si="12"/>
        <v>0.98041645428701685</v>
      </c>
      <c r="AF28" s="112">
        <f t="shared" si="13"/>
        <v>2.0025141665990023E-3</v>
      </c>
      <c r="AG28" s="112">
        <f t="shared" si="14"/>
        <v>2.9397616280137003E-5</v>
      </c>
      <c r="AH28" s="112">
        <f t="shared" si="15"/>
        <v>1.2156854008718049E-5</v>
      </c>
      <c r="AI28" s="66"/>
      <c r="AJ28" s="66"/>
      <c r="AK28" s="66"/>
    </row>
    <row r="29" spans="1:37" ht="17.100000000000001" customHeight="1" x14ac:dyDescent="0.25">
      <c r="A29" s="107">
        <v>2</v>
      </c>
      <c r="B29" s="169">
        <f>VLOOKUP(Nom_X,'MPE Table'!$C$5:$AC$50,(HLOOKUP($A$5,'MPE Table'!$D$3:$AC$4,2,0)+1),0)</f>
        <v>1.7000000000000001E-2</v>
      </c>
      <c r="C29" s="90"/>
      <c r="D29" s="91">
        <f t="shared" si="0"/>
        <v>6.5093050690944099E-5</v>
      </c>
      <c r="E29" s="89">
        <v>6.2E-4</v>
      </c>
      <c r="F29" s="92">
        <f t="shared" si="1"/>
        <v>6.2340765575043581E-4</v>
      </c>
      <c r="H29" s="93">
        <f t="shared" si="2"/>
        <v>4.2209272784122859E-10</v>
      </c>
      <c r="I29" s="89">
        <v>1.0002727272727272</v>
      </c>
      <c r="J29" s="89">
        <v>1.00068</v>
      </c>
      <c r="K29" s="89">
        <v>0.99987999999999999</v>
      </c>
      <c r="L29" s="93">
        <f t="shared" si="3"/>
        <v>3.9973633183173648E-6</v>
      </c>
      <c r="M29" s="89">
        <v>7.9859999999999998</v>
      </c>
      <c r="N29" s="89">
        <v>2.5000000000000001E-2</v>
      </c>
      <c r="O29" s="89">
        <v>0.2</v>
      </c>
      <c r="P29" s="89">
        <v>1</v>
      </c>
      <c r="Q29" s="89">
        <v>0.11</v>
      </c>
      <c r="R29" s="89">
        <v>1.1738</v>
      </c>
      <c r="S29" s="94">
        <v>0</v>
      </c>
      <c r="T29" s="169">
        <f t="shared" si="4"/>
        <v>4.5000000000000003E-5</v>
      </c>
      <c r="U29" s="89">
        <v>2.2000000000000002</v>
      </c>
      <c r="V29" s="94">
        <f t="shared" si="5"/>
        <v>1.6802324280366515E-6</v>
      </c>
      <c r="W29" s="94">
        <f t="shared" si="6"/>
        <v>6.2376117230123092E-4</v>
      </c>
      <c r="X29" s="95">
        <v>2</v>
      </c>
      <c r="Y29" s="94" t="str">
        <f t="shared" si="7"/>
        <v>0.0012</v>
      </c>
      <c r="Z29" s="130">
        <f t="shared" si="8"/>
        <v>0.21176470588235291</v>
      </c>
      <c r="AA29" s="107">
        <f t="shared" si="9"/>
        <v>2</v>
      </c>
      <c r="AC29" s="112">
        <f t="shared" si="10"/>
        <v>0.99999999999999989</v>
      </c>
      <c r="AD29" s="112">
        <f t="shared" si="11"/>
        <v>1.0890117784826981E-2</v>
      </c>
      <c r="AE29" s="112">
        <f t="shared" si="12"/>
        <v>0.98797670372070123</v>
      </c>
      <c r="AF29" s="112">
        <f t="shared" si="13"/>
        <v>1.0848537510849533E-3</v>
      </c>
      <c r="AG29" s="112">
        <f t="shared" si="14"/>
        <v>4.1068663598891549E-5</v>
      </c>
      <c r="AH29" s="112">
        <f t="shared" si="15"/>
        <v>7.2560797878924503E-6</v>
      </c>
      <c r="AI29" s="66"/>
      <c r="AJ29" s="66"/>
      <c r="AK29" s="66"/>
    </row>
    <row r="30" spans="1:37" s="104" customFormat="1" ht="17.100000000000001" customHeight="1" x14ac:dyDescent="0.25">
      <c r="A30" s="108">
        <v>1</v>
      </c>
      <c r="B30" s="168">
        <f>VLOOKUP(Nom_X,'MPE Table'!$C$5:$AC$50,(HLOOKUP($A$5,'MPE Table'!$D$3:$AC$4,2,0)+1),0)</f>
        <v>1.7000000000000001E-2</v>
      </c>
      <c r="C30" s="98"/>
      <c r="D30" s="106">
        <f t="shared" si="0"/>
        <v>3.254652534547205E-5</v>
      </c>
      <c r="E30" s="97">
        <v>6.4999999999999997E-4</v>
      </c>
      <c r="F30" s="99">
        <f t="shared" si="1"/>
        <v>6.5081431784500823E-4</v>
      </c>
      <c r="H30" s="100">
        <f t="shared" si="2"/>
        <v>1.0564251264737542E-10</v>
      </c>
      <c r="I30" s="97">
        <v>1.0002727272727272</v>
      </c>
      <c r="J30" s="97">
        <v>1.00068</v>
      </c>
      <c r="K30" s="97">
        <v>0.99987999999999999</v>
      </c>
      <c r="L30" s="100">
        <f t="shared" ref="L30" si="52">IF(B30="-","-",MAX(ABS(J30-I30)/10^(ROUND(LOG(I30),1)),ABS(K30-I30)/10^(ROUND(LOG(I30),1)))*B30/SQRT(3))</f>
        <v>3.9973633183173648E-6</v>
      </c>
      <c r="M30" s="97">
        <v>7.984</v>
      </c>
      <c r="N30" s="97">
        <v>2.5000000000000001E-2</v>
      </c>
      <c r="O30" s="97">
        <v>0.2</v>
      </c>
      <c r="P30" s="97">
        <v>1</v>
      </c>
      <c r="Q30" s="97">
        <v>0.11</v>
      </c>
      <c r="R30" s="97">
        <v>1.1738</v>
      </c>
      <c r="S30" s="101">
        <v>0</v>
      </c>
      <c r="T30" s="168">
        <f t="shared" si="4"/>
        <v>4.5000000000000003E-5</v>
      </c>
      <c r="U30" s="97">
        <v>2.2000000000000002</v>
      </c>
      <c r="V30" s="101">
        <f t="shared" si="5"/>
        <v>8.4032666397173724E-7</v>
      </c>
      <c r="W30" s="133">
        <f t="shared" si="6"/>
        <v>6.5090829145672395E-4</v>
      </c>
      <c r="X30" s="102">
        <v>2</v>
      </c>
      <c r="Y30" s="101" t="str">
        <f t="shared" si="7"/>
        <v>0.0013</v>
      </c>
      <c r="Z30" s="131">
        <f t="shared" ref="Z30" si="53">IF(OR(MPE_X="-",Y30="-"),"-",3*Uk_X/MPE_X)</f>
        <v>0.22941176470588232</v>
      </c>
      <c r="AA30" s="108">
        <f t="shared" ref="AA30" si="54">A30</f>
        <v>1</v>
      </c>
      <c r="AB30" s="103"/>
      <c r="AC30" s="113">
        <f t="shared" ref="AC30" si="55">SUM(AD30:AH30)</f>
        <v>1.0000000000000004</v>
      </c>
      <c r="AD30" s="113">
        <f t="shared" ref="AD30" si="56">D30^2/$W30^2</f>
        <v>2.5001706525490191E-3</v>
      </c>
      <c r="AE30" s="113">
        <f t="shared" ref="AE30" si="57">E30^2/$W30^2</f>
        <v>0.99721110410206459</v>
      </c>
      <c r="AF30" s="113">
        <f t="shared" ref="AF30" si="58">H30/$W30^2</f>
        <v>2.4934411047859305E-4</v>
      </c>
      <c r="AG30" s="113">
        <f t="shared" ref="AG30" si="59">L30^2/$W30^2</f>
        <v>3.7714437804306329E-5</v>
      </c>
      <c r="AH30" s="113">
        <f t="shared" ref="AH30" si="60">V30^2/$W30^2</f>
        <v>1.6666971039177333E-6</v>
      </c>
    </row>
    <row r="31" spans="1:37" ht="17.100000000000001" customHeight="1" x14ac:dyDescent="0.25">
      <c r="A31" s="183">
        <v>1</v>
      </c>
      <c r="B31" s="184">
        <f>VLOOKUP(Nom_X,'MPE Table'!$C$5:$AC$50,(HLOOKUP($A$5,'MPE Table'!$D$3:$AC$4,2,0)+1),0)</f>
        <v>1.7000000000000001E-2</v>
      </c>
      <c r="C31" s="98"/>
      <c r="D31" s="185">
        <f t="shared" si="0"/>
        <v>3.254652534547205E-5</v>
      </c>
      <c r="E31" s="97">
        <v>6.4999999999999997E-4</v>
      </c>
      <c r="F31" s="185">
        <f t="shared" si="1"/>
        <v>6.5081431784500823E-4</v>
      </c>
      <c r="G31" s="187"/>
      <c r="H31" s="184">
        <f t="shared" si="2"/>
        <v>1.0564251264737542E-10</v>
      </c>
      <c r="I31" s="97">
        <v>1.0002727272727272</v>
      </c>
      <c r="J31" s="97">
        <v>1.00068</v>
      </c>
      <c r="K31" s="97">
        <v>0.99987999999999999</v>
      </c>
      <c r="L31" s="184">
        <f t="shared" si="3"/>
        <v>3.9973633183173648E-6</v>
      </c>
      <c r="M31" s="97">
        <v>7.984</v>
      </c>
      <c r="N31" s="97">
        <v>2.5000000000000001E-2</v>
      </c>
      <c r="O31" s="97">
        <v>0.2</v>
      </c>
      <c r="P31" s="97">
        <v>1</v>
      </c>
      <c r="Q31" s="97">
        <v>0.11</v>
      </c>
      <c r="R31" s="97">
        <v>1.1738</v>
      </c>
      <c r="S31" s="184">
        <v>0</v>
      </c>
      <c r="T31" s="184">
        <f t="shared" si="4"/>
        <v>4.5000000000000003E-5</v>
      </c>
      <c r="U31" s="97">
        <v>2.2000000000000002</v>
      </c>
      <c r="V31" s="184">
        <f t="shared" si="5"/>
        <v>8.4032666397173724E-7</v>
      </c>
      <c r="W31" s="184">
        <f t="shared" si="6"/>
        <v>6.5090829145672395E-4</v>
      </c>
      <c r="X31" s="102">
        <v>2</v>
      </c>
      <c r="Y31" s="184" t="str">
        <f t="shared" si="7"/>
        <v>0.0013</v>
      </c>
      <c r="Z31" s="131">
        <f t="shared" si="8"/>
        <v>0.22941176470588232</v>
      </c>
      <c r="AA31" s="186">
        <f t="shared" si="9"/>
        <v>1</v>
      </c>
      <c r="AB31" s="140"/>
      <c r="AC31" s="112">
        <f t="shared" si="10"/>
        <v>1.0000000000000004</v>
      </c>
      <c r="AD31" s="112">
        <f t="shared" si="11"/>
        <v>2.5001706525490191E-3</v>
      </c>
      <c r="AE31" s="112">
        <f t="shared" si="12"/>
        <v>0.99721110410206459</v>
      </c>
      <c r="AF31" s="112">
        <f t="shared" si="13"/>
        <v>2.4934411047859305E-4</v>
      </c>
      <c r="AG31" s="112">
        <f t="shared" si="14"/>
        <v>3.7714437804306329E-5</v>
      </c>
      <c r="AH31" s="112">
        <f t="shared" si="15"/>
        <v>1.6666971039177333E-6</v>
      </c>
      <c r="AI31" s="66"/>
      <c r="AJ31" s="66"/>
      <c r="AK31" s="66"/>
    </row>
    <row r="32" spans="1:37" ht="17.100000000000001" customHeight="1" x14ac:dyDescent="0.25">
      <c r="A32" s="107">
        <v>0.5</v>
      </c>
      <c r="B32" s="169">
        <f>VLOOKUP(Nom_X,'MPE Table'!$C$5:$AC$50,(HLOOKUP($A$5,'MPE Table'!$D$3:$AC$4,2,0)+1),0)</f>
        <v>5.0000000000000001E-3</v>
      </c>
      <c r="C32" s="90"/>
      <c r="D32" s="83">
        <f t="shared" si="0"/>
        <v>1.6273262672736025E-5</v>
      </c>
      <c r="E32" s="89">
        <v>3.6999999999999999E-4</v>
      </c>
      <c r="F32" s="92">
        <f t="shared" si="1"/>
        <v>3.703576907234624E-4</v>
      </c>
      <c r="H32" s="93">
        <f t="shared" si="2"/>
        <v>2.493900599137716E-11</v>
      </c>
      <c r="I32" s="89">
        <v>0.99999090909090893</v>
      </c>
      <c r="J32" s="89">
        <v>1.0001199999999999</v>
      </c>
      <c r="K32" s="89">
        <v>0.99973000000000001</v>
      </c>
      <c r="L32" s="93">
        <f t="shared" si="3"/>
        <v>7.5317966935143597E-7</v>
      </c>
      <c r="M32" s="89">
        <v>8.0050000000000008</v>
      </c>
      <c r="N32" s="89">
        <v>2.5000000000000001E-2</v>
      </c>
      <c r="O32" s="89">
        <v>0.2</v>
      </c>
      <c r="P32" s="89">
        <v>1</v>
      </c>
      <c r="Q32" s="89">
        <v>0.11</v>
      </c>
      <c r="R32" s="89">
        <v>1.1744000000000001</v>
      </c>
      <c r="S32" s="94">
        <v>0</v>
      </c>
      <c r="T32" s="169">
        <f t="shared" si="4"/>
        <v>4.5000000000000003E-5</v>
      </c>
      <c r="U32" s="89">
        <v>2.08</v>
      </c>
      <c r="V32" s="94">
        <f t="shared" si="5"/>
        <v>3.9640573775363754E-7</v>
      </c>
      <c r="W32" s="94">
        <f t="shared" si="6"/>
        <v>3.7039233591035659E-4</v>
      </c>
      <c r="X32" s="95">
        <v>2</v>
      </c>
      <c r="Y32" s="94" t="str">
        <f t="shared" si="7"/>
        <v>0.00074</v>
      </c>
      <c r="Z32" s="130">
        <f t="shared" si="8"/>
        <v>0.44399999999999995</v>
      </c>
      <c r="AA32" s="107">
        <f t="shared" si="9"/>
        <v>0.5</v>
      </c>
      <c r="AC32" s="112">
        <f t="shared" si="10"/>
        <v>1.0000000000000004</v>
      </c>
      <c r="AD32" s="112">
        <f t="shared" si="11"/>
        <v>1.9303021112538298E-3</v>
      </c>
      <c r="AE32" s="112">
        <f t="shared" si="12"/>
        <v>0.9978826337233121</v>
      </c>
      <c r="AF32" s="112">
        <f t="shared" si="13"/>
        <v>1.8178379095045219E-4</v>
      </c>
      <c r="AG32" s="112">
        <f t="shared" si="14"/>
        <v>4.1349779079584777E-6</v>
      </c>
      <c r="AH32" s="112">
        <f t="shared" si="15"/>
        <v>1.1453965760541071E-6</v>
      </c>
      <c r="AI32" s="66"/>
      <c r="AJ32" s="66"/>
      <c r="AK32" s="66"/>
    </row>
    <row r="33" spans="1:37" ht="17.100000000000001" customHeight="1" x14ac:dyDescent="0.25">
      <c r="A33" s="107">
        <v>0.3</v>
      </c>
      <c r="B33" s="169">
        <f>VLOOKUP(Nom_X,'MPE Table'!$C$5:$AC$50,(HLOOKUP($A$5,'MPE Table'!$D$3:$AC$4,2,0)+1),0)</f>
        <v>5.0000000000000001E-3</v>
      </c>
      <c r="C33" s="90"/>
      <c r="D33" s="91">
        <f t="shared" si="0"/>
        <v>9.7639576036416153E-6</v>
      </c>
      <c r="E33" s="89">
        <v>2.7999999999999998E-4</v>
      </c>
      <c r="F33" s="92">
        <f t="shared" si="1"/>
        <v>2.801701891138415E-4</v>
      </c>
      <c r="H33" s="93">
        <f t="shared" si="2"/>
        <v>8.9910868101570153E-12</v>
      </c>
      <c r="I33" s="89">
        <v>0.99999090909090893</v>
      </c>
      <c r="J33" s="89">
        <v>1.0001199999999999</v>
      </c>
      <c r="K33" s="89">
        <v>0.99973000000000001</v>
      </c>
      <c r="L33" s="93">
        <f t="shared" si="3"/>
        <v>7.5317966935143597E-7</v>
      </c>
      <c r="M33" s="89">
        <v>8.0020000000000007</v>
      </c>
      <c r="N33" s="89">
        <v>2.5000000000000001E-2</v>
      </c>
      <c r="O33" s="89">
        <v>0.2</v>
      </c>
      <c r="P33" s="89">
        <v>1</v>
      </c>
      <c r="Q33" s="89">
        <v>0.11</v>
      </c>
      <c r="R33" s="89">
        <v>1.1744000000000001</v>
      </c>
      <c r="S33" s="94">
        <v>0</v>
      </c>
      <c r="T33" s="169">
        <f t="shared" si="4"/>
        <v>4.5000000000000003E-5</v>
      </c>
      <c r="U33" s="89">
        <v>2.08</v>
      </c>
      <c r="V33" s="94">
        <f t="shared" si="5"/>
        <v>2.3793261165092736E-7</v>
      </c>
      <c r="W33" s="94">
        <f t="shared" si="6"/>
        <v>2.8018734776295287E-4</v>
      </c>
      <c r="X33" s="95">
        <v>2</v>
      </c>
      <c r="Y33" s="94" t="str">
        <f t="shared" si="7"/>
        <v>0.00056</v>
      </c>
      <c r="Z33" s="130">
        <f t="shared" si="8"/>
        <v>0.33599999999999997</v>
      </c>
      <c r="AA33" s="107">
        <f t="shared" si="9"/>
        <v>0.3</v>
      </c>
      <c r="AC33" s="112">
        <f t="shared" si="10"/>
        <v>0.99999999999999967</v>
      </c>
      <c r="AD33" s="112">
        <f t="shared" si="11"/>
        <v>1.2143803450889877E-3</v>
      </c>
      <c r="AE33" s="112">
        <f t="shared" si="12"/>
        <v>0.99866314357702035</v>
      </c>
      <c r="AF33" s="112">
        <f t="shared" si="13"/>
        <v>1.1452891604598585E-4</v>
      </c>
      <c r="AG33" s="112">
        <f t="shared" si="14"/>
        <v>7.2260362618406074E-6</v>
      </c>
      <c r="AH33" s="112">
        <f t="shared" si="15"/>
        <v>7.2112558249853767E-7</v>
      </c>
      <c r="AI33" s="66"/>
      <c r="AJ33" s="66"/>
      <c r="AK33" s="66"/>
    </row>
    <row r="34" spans="1:37" ht="17.100000000000001" customHeight="1" x14ac:dyDescent="0.25">
      <c r="A34" s="107">
        <v>0.2</v>
      </c>
      <c r="B34" s="169">
        <f>VLOOKUP(Nom_X,'MPE Table'!$C$5:$AC$50,(HLOOKUP($A$5,'MPE Table'!$D$3:$AC$4,2,0)+1),0)</f>
        <v>5.0000000000000001E-3</v>
      </c>
      <c r="C34" s="90"/>
      <c r="D34" s="91">
        <f t="shared" si="0"/>
        <v>6.5093050690944104E-6</v>
      </c>
      <c r="E34" s="89">
        <v>2.3000000000000001E-4</v>
      </c>
      <c r="F34" s="92">
        <f t="shared" si="1"/>
        <v>2.3009209254662042E-4</v>
      </c>
      <c r="H34" s="93">
        <f t="shared" si="2"/>
        <v>4.0166188624950915E-12</v>
      </c>
      <c r="I34" s="89">
        <v>0.99999090909090893</v>
      </c>
      <c r="J34" s="89">
        <v>1.0001199999999999</v>
      </c>
      <c r="K34" s="89">
        <v>0.99973000000000001</v>
      </c>
      <c r="L34" s="93">
        <f t="shared" si="3"/>
        <v>7.5317966935143597E-7</v>
      </c>
      <c r="M34" s="89">
        <v>7.992</v>
      </c>
      <c r="N34" s="89">
        <v>2.5000000000000001E-2</v>
      </c>
      <c r="O34" s="89">
        <v>0.2</v>
      </c>
      <c r="P34" s="89">
        <v>1</v>
      </c>
      <c r="Q34" s="89">
        <v>0.11</v>
      </c>
      <c r="R34" s="89">
        <v>1.1744000000000001</v>
      </c>
      <c r="S34" s="94">
        <v>0</v>
      </c>
      <c r="T34" s="169">
        <f t="shared" si="4"/>
        <v>4.5000000000000003E-5</v>
      </c>
      <c r="U34" s="89">
        <v>2.08</v>
      </c>
      <c r="V34" s="94">
        <f t="shared" si="5"/>
        <v>1.5882021675264609E-7</v>
      </c>
      <c r="W34" s="94">
        <f t="shared" si="6"/>
        <v>2.3010210814944875E-4</v>
      </c>
      <c r="X34" s="95">
        <v>2</v>
      </c>
      <c r="Y34" s="94" t="str">
        <f t="shared" si="7"/>
        <v>0.00046</v>
      </c>
      <c r="Z34" s="130">
        <f t="shared" si="8"/>
        <v>0.27600000000000002</v>
      </c>
      <c r="AA34" s="107">
        <f t="shared" si="9"/>
        <v>0.2</v>
      </c>
      <c r="AC34" s="112">
        <f t="shared" si="10"/>
        <v>1</v>
      </c>
      <c r="AD34" s="112">
        <f t="shared" si="11"/>
        <v>8.0025437414253328E-4</v>
      </c>
      <c r="AE34" s="112">
        <f t="shared" si="12"/>
        <v>0.99911269396922187</v>
      </c>
      <c r="AF34" s="112">
        <f t="shared" si="13"/>
        <v>7.5861151084216682E-5</v>
      </c>
      <c r="AG34" s="112">
        <f t="shared" si="14"/>
        <v>1.0714107064298883E-5</v>
      </c>
      <c r="AH34" s="112">
        <f t="shared" si="15"/>
        <v>4.7639848705390202E-7</v>
      </c>
      <c r="AI34" s="66"/>
      <c r="AJ34" s="66"/>
      <c r="AK34" s="66"/>
    </row>
    <row r="35" spans="1:37" s="104" customFormat="1" ht="17.100000000000001" customHeight="1" x14ac:dyDescent="0.25">
      <c r="A35" s="108">
        <v>0.1</v>
      </c>
      <c r="B35" s="168">
        <f>VLOOKUP(Nom_X,'MPE Table'!$C$5:$AC$50,(HLOOKUP($A$5,'MPE Table'!$D$3:$AC$4,2,0)+1),0)</f>
        <v>5.0000000000000001E-3</v>
      </c>
      <c r="C35" s="98"/>
      <c r="D35" s="106">
        <f t="shared" si="0"/>
        <v>3.2546525345472052E-6</v>
      </c>
      <c r="E35" s="97">
        <v>2.5000000000000001E-4</v>
      </c>
      <c r="F35" s="99">
        <f t="shared" si="1"/>
        <v>2.5002118462866431E-4</v>
      </c>
      <c r="H35" s="100">
        <f t="shared" si="2"/>
        <v>1.0057927289599061E-12</v>
      </c>
      <c r="I35" s="97">
        <v>0.99999090909090893</v>
      </c>
      <c r="J35" s="97">
        <v>1.0001199999999999</v>
      </c>
      <c r="K35" s="97">
        <v>0.99973000000000001</v>
      </c>
      <c r="L35" s="100">
        <f t="shared" ref="L35" si="61">IF(B35="-","-",MAX(ABS(J35-I35)/10^(ROUND(LOG(I35),1)),ABS(K35-I35)/10^(ROUND(LOG(I35),1)))*B35/SQRT(3))</f>
        <v>7.5317966935143597E-7</v>
      </c>
      <c r="M35" s="97">
        <v>7.9889999999999999</v>
      </c>
      <c r="N35" s="97">
        <v>2.5000000000000001E-2</v>
      </c>
      <c r="O35" s="97">
        <v>0.2</v>
      </c>
      <c r="P35" s="97">
        <v>1</v>
      </c>
      <c r="Q35" s="97">
        <v>0.11</v>
      </c>
      <c r="R35" s="97">
        <v>1.1744000000000001</v>
      </c>
      <c r="S35" s="101">
        <v>0</v>
      </c>
      <c r="T35" s="168">
        <f t="shared" si="4"/>
        <v>4.5000000000000003E-5</v>
      </c>
      <c r="U35" s="97">
        <v>2.08</v>
      </c>
      <c r="V35" s="101">
        <f t="shared" si="5"/>
        <v>7.9439928169179352E-8</v>
      </c>
      <c r="W35" s="133">
        <f t="shared" si="6"/>
        <v>2.5002434310715852E-4</v>
      </c>
      <c r="X35" s="102">
        <v>2</v>
      </c>
      <c r="Y35" s="101" t="str">
        <f t="shared" si="7"/>
        <v>0.00050</v>
      </c>
      <c r="Z35" s="131">
        <f t="shared" ref="Z35" si="62">IF(OR(MPE_X="-",Y35="-"),"-",3*Uk_X/MPE_X)</f>
        <v>0.3</v>
      </c>
      <c r="AA35" s="108">
        <f t="shared" ref="AA35" si="63">A35</f>
        <v>0.1</v>
      </c>
      <c r="AB35" s="103"/>
      <c r="AC35" s="113">
        <f t="shared" ref="AC35" si="64">SUM(AD35:AH35)</f>
        <v>0.99999999999999967</v>
      </c>
      <c r="AD35" s="113">
        <f t="shared" ref="AD35" si="65">D35^2/$W35^2</f>
        <v>1.694512085720925E-4</v>
      </c>
      <c r="AE35" s="113">
        <f t="shared" ref="AE35" si="66">E35^2/$W35^2</f>
        <v>0.99980528358320897</v>
      </c>
      <c r="AF35" s="113">
        <f t="shared" ref="AF35" si="67">H35/$W35^2</f>
        <v>1.6089550153659016E-5</v>
      </c>
      <c r="AG35" s="113">
        <f t="shared" ref="AG35" si="68">L35^2/$W35^2</f>
        <v>9.0747064907282986E-6</v>
      </c>
      <c r="AH35" s="113">
        <f t="shared" ref="AH35" si="69">V35^2/$W35^2</f>
        <v>1.0095157424331176E-7</v>
      </c>
    </row>
    <row r="36" spans="1:37" ht="17.100000000000001" customHeight="1" x14ac:dyDescent="0.25">
      <c r="A36" s="183">
        <v>0.1</v>
      </c>
      <c r="B36" s="184">
        <f>VLOOKUP(Nom_X,'MPE Table'!$C$5:$AC$50,(HLOOKUP($A$5,'MPE Table'!$D$3:$AC$4,2,0)+1),0)</f>
        <v>5.0000000000000001E-3</v>
      </c>
      <c r="C36" s="98"/>
      <c r="D36" s="185">
        <f t="shared" si="0"/>
        <v>3.2546525345472052E-6</v>
      </c>
      <c r="E36" s="97">
        <v>2.5000000000000001E-4</v>
      </c>
      <c r="F36" s="185">
        <f t="shared" si="1"/>
        <v>2.5002118462866431E-4</v>
      </c>
      <c r="G36" s="187"/>
      <c r="H36" s="184">
        <f t="shared" si="2"/>
        <v>1.0057927289599061E-12</v>
      </c>
      <c r="I36" s="97">
        <v>0.99999090909090893</v>
      </c>
      <c r="J36" s="97">
        <v>1.0001199999999999</v>
      </c>
      <c r="K36" s="97">
        <v>0.99973000000000001</v>
      </c>
      <c r="L36" s="184">
        <f t="shared" si="3"/>
        <v>7.5317966935143597E-7</v>
      </c>
      <c r="M36" s="97">
        <v>7.9889999999999999</v>
      </c>
      <c r="N36" s="97">
        <v>2.5000000000000001E-2</v>
      </c>
      <c r="O36" s="97">
        <v>0.2</v>
      </c>
      <c r="P36" s="97">
        <v>1</v>
      </c>
      <c r="Q36" s="97">
        <v>0.11</v>
      </c>
      <c r="R36" s="97">
        <v>1.1744000000000001</v>
      </c>
      <c r="S36" s="184">
        <v>0</v>
      </c>
      <c r="T36" s="184">
        <f t="shared" si="4"/>
        <v>4.5000000000000003E-5</v>
      </c>
      <c r="U36" s="97">
        <v>2.08</v>
      </c>
      <c r="V36" s="184">
        <f t="shared" si="5"/>
        <v>7.9439928169179352E-8</v>
      </c>
      <c r="W36" s="184">
        <f t="shared" si="6"/>
        <v>2.5002434310715852E-4</v>
      </c>
      <c r="X36" s="102">
        <v>2</v>
      </c>
      <c r="Y36" s="184" t="str">
        <f t="shared" si="7"/>
        <v>0.00050</v>
      </c>
      <c r="Z36" s="131">
        <f t="shared" si="8"/>
        <v>0.3</v>
      </c>
      <c r="AA36" s="186">
        <f t="shared" si="9"/>
        <v>0.1</v>
      </c>
      <c r="AB36" s="140"/>
      <c r="AC36" s="112">
        <f t="shared" si="10"/>
        <v>0.99999999999999967</v>
      </c>
      <c r="AD36" s="112">
        <f t="shared" si="11"/>
        <v>1.694512085720925E-4</v>
      </c>
      <c r="AE36" s="112">
        <f t="shared" si="12"/>
        <v>0.99980528358320897</v>
      </c>
      <c r="AF36" s="112">
        <f t="shared" si="13"/>
        <v>1.6089550153659016E-5</v>
      </c>
      <c r="AG36" s="112">
        <f t="shared" si="14"/>
        <v>9.0747064907282986E-6</v>
      </c>
      <c r="AH36" s="112">
        <f t="shared" si="15"/>
        <v>1.0095157424331176E-7</v>
      </c>
      <c r="AI36" s="66"/>
      <c r="AJ36" s="66"/>
      <c r="AK36" s="66"/>
    </row>
    <row r="37" spans="1:37" ht="17.100000000000001" customHeight="1" x14ac:dyDescent="0.25">
      <c r="A37" s="107">
        <v>0.05</v>
      </c>
      <c r="B37" s="169">
        <f>VLOOKUP(Nom_X,'MPE Table'!$C$5:$AC$50,(HLOOKUP($A$5,'MPE Table'!$D$3:$AC$4,2,0)+1),0)</f>
        <v>5.0000000000000001E-3</v>
      </c>
      <c r="C37" s="90"/>
      <c r="D37" s="83">
        <f t="shared" si="0"/>
        <v>1.6273262672736026E-6</v>
      </c>
      <c r="E37" s="89">
        <v>2.5000000000000001E-4</v>
      </c>
      <c r="F37" s="92">
        <f t="shared" si="1"/>
        <v>2.5000529632545818E-4</v>
      </c>
      <c r="H37" s="93">
        <f t="shared" si="2"/>
        <v>2.4021017952914035E-13</v>
      </c>
      <c r="I37" s="89">
        <v>1.0000945454545456</v>
      </c>
      <c r="J37" s="89">
        <v>1.0003899999999999</v>
      </c>
      <c r="K37" s="89">
        <v>0.99987999999999999</v>
      </c>
      <c r="L37" s="93">
        <f t="shared" si="3"/>
        <v>8.5290380675675433E-7</v>
      </c>
      <c r="M37" s="89">
        <v>8.0009999999999994</v>
      </c>
      <c r="N37" s="89">
        <v>2.5000000000000001E-2</v>
      </c>
      <c r="O37" s="89">
        <v>0.2</v>
      </c>
      <c r="P37" s="89">
        <v>1</v>
      </c>
      <c r="Q37" s="89">
        <v>0.11</v>
      </c>
      <c r="R37" s="89">
        <v>1.1749000000000001</v>
      </c>
      <c r="S37" s="94">
        <v>0</v>
      </c>
      <c r="T37" s="169">
        <f t="shared" si="4"/>
        <v>4.5000000000000003E-5</v>
      </c>
      <c r="U37" s="89">
        <v>2.09</v>
      </c>
      <c r="V37" s="94">
        <f t="shared" si="5"/>
        <v>3.986803310900347E-8</v>
      </c>
      <c r="W37" s="94">
        <f t="shared" si="6"/>
        <v>2.5000723476596297E-4</v>
      </c>
      <c r="X37" s="95">
        <v>2</v>
      </c>
      <c r="Y37" s="94" t="str">
        <f t="shared" si="7"/>
        <v>0.00050</v>
      </c>
      <c r="Z37" s="130">
        <f t="shared" si="8"/>
        <v>0.3</v>
      </c>
      <c r="AA37" s="107">
        <f t="shared" si="9"/>
        <v>0.05</v>
      </c>
      <c r="AC37" s="112">
        <f t="shared" si="10"/>
        <v>1</v>
      </c>
      <c r="AD37" s="112">
        <f t="shared" si="11"/>
        <v>4.2368600231800933E-5</v>
      </c>
      <c r="AE37" s="112">
        <f t="shared" si="12"/>
        <v>0.9999421243846075</v>
      </c>
      <c r="AF37" s="112">
        <f t="shared" si="13"/>
        <v>3.8431404354748254E-6</v>
      </c>
      <c r="AG37" s="112">
        <f t="shared" si="14"/>
        <v>1.1638444836139267E-5</v>
      </c>
      <c r="AH37" s="112">
        <f t="shared" si="15"/>
        <v>2.5429889168020037E-8</v>
      </c>
      <c r="AI37" s="66"/>
      <c r="AJ37" s="66"/>
      <c r="AK37" s="66"/>
    </row>
    <row r="38" spans="1:37" ht="17.100000000000001" customHeight="1" x14ac:dyDescent="0.25">
      <c r="A38" s="107">
        <v>0.03</v>
      </c>
      <c r="B38" s="169">
        <f>VLOOKUP(Nom_X,'MPE Table'!$C$5:$AC$50,(HLOOKUP($A$5,'MPE Table'!$D$3:$AC$4,2,0)+1),0)</f>
        <v>5.0000000000000001E-3</v>
      </c>
      <c r="C38" s="90"/>
      <c r="D38" s="91">
        <f t="shared" si="0"/>
        <v>9.7639576036416144E-7</v>
      </c>
      <c r="E38" s="89">
        <v>1.8000000000000001E-4</v>
      </c>
      <c r="F38" s="92">
        <f t="shared" si="1"/>
        <v>1.8000264817130015E-4</v>
      </c>
      <c r="H38" s="93">
        <f t="shared" si="2"/>
        <v>5.6592291566779205E-11</v>
      </c>
      <c r="I38" s="89">
        <v>1.0000945454545456</v>
      </c>
      <c r="J38" s="89">
        <v>1.0003899999999999</v>
      </c>
      <c r="K38" s="89">
        <v>0.99987999999999999</v>
      </c>
      <c r="L38" s="93">
        <f t="shared" si="3"/>
        <v>8.5290380675675433E-7</v>
      </c>
      <c r="M38" s="89">
        <v>2.7029999999999998</v>
      </c>
      <c r="N38" s="89">
        <v>2.5000000000000001E-2</v>
      </c>
      <c r="O38" s="89">
        <v>0.2</v>
      </c>
      <c r="P38" s="89">
        <v>1</v>
      </c>
      <c r="Q38" s="89">
        <v>0.11</v>
      </c>
      <c r="R38" s="89">
        <v>1.1749000000000001</v>
      </c>
      <c r="S38" s="94">
        <v>0</v>
      </c>
      <c r="T38" s="169">
        <f t="shared" si="4"/>
        <v>6.8999999999999997E-5</v>
      </c>
      <c r="U38" s="89">
        <v>2.09</v>
      </c>
      <c r="V38" s="94">
        <f t="shared" si="5"/>
        <v>1.0857025611273612E-7</v>
      </c>
      <c r="W38" s="94">
        <f t="shared" si="6"/>
        <v>1.8016182967724252E-4</v>
      </c>
      <c r="X38" s="95">
        <v>2</v>
      </c>
      <c r="Y38" s="94" t="str">
        <f t="shared" si="7"/>
        <v>0.00036</v>
      </c>
      <c r="Z38" s="130">
        <f t="shared" si="8"/>
        <v>0.216</v>
      </c>
      <c r="AA38" s="107">
        <f t="shared" si="9"/>
        <v>0.03</v>
      </c>
      <c r="AC38" s="112">
        <f t="shared" si="10"/>
        <v>0.99999999999999989</v>
      </c>
      <c r="AD38" s="112">
        <f t="shared" si="11"/>
        <v>2.9371505136439561E-5</v>
      </c>
      <c r="AE38" s="112">
        <f t="shared" si="12"/>
        <v>0.99820431446453772</v>
      </c>
      <c r="AF38" s="112">
        <f t="shared" si="13"/>
        <v>1.7435391854133972E-3</v>
      </c>
      <c r="AG38" s="112">
        <f t="shared" si="14"/>
        <v>2.2411686459535746E-5</v>
      </c>
      <c r="AH38" s="112">
        <f t="shared" si="15"/>
        <v>3.6315845272270892E-7</v>
      </c>
      <c r="AI38" s="66"/>
      <c r="AJ38" s="66"/>
      <c r="AK38" s="66"/>
    </row>
    <row r="39" spans="1:37" ht="17.100000000000001" customHeight="1" x14ac:dyDescent="0.25">
      <c r="A39" s="107">
        <v>0.02</v>
      </c>
      <c r="B39" s="169">
        <f>VLOOKUP(Nom_X,'MPE Table'!$C$5:$AC$50,(HLOOKUP($A$5,'MPE Table'!$D$3:$AC$4,2,0)+1),0)</f>
        <v>5.0000000000000001E-3</v>
      </c>
      <c r="C39" s="90"/>
      <c r="D39" s="91">
        <f t="shared" si="0"/>
        <v>6.5093050690944096E-7</v>
      </c>
      <c r="E39" s="89">
        <v>1.4999999999999999E-4</v>
      </c>
      <c r="F39" s="92">
        <f t="shared" si="1"/>
        <v>1.5000141236176686E-4</v>
      </c>
      <c r="H39" s="93">
        <f t="shared" si="2"/>
        <v>2.4920002045716125E-11</v>
      </c>
      <c r="I39" s="89">
        <v>1.0000945454545456</v>
      </c>
      <c r="J39" s="89">
        <v>1.0003899999999999</v>
      </c>
      <c r="K39" s="89">
        <v>0.99987999999999999</v>
      </c>
      <c r="L39" s="93">
        <f t="shared" si="3"/>
        <v>8.5290380675675433E-7</v>
      </c>
      <c r="M39" s="89">
        <v>2.7109999999999999</v>
      </c>
      <c r="N39" s="89">
        <v>2.5000000000000001E-2</v>
      </c>
      <c r="O39" s="89">
        <v>0.2</v>
      </c>
      <c r="P39" s="89">
        <v>1</v>
      </c>
      <c r="Q39" s="89">
        <v>0.11</v>
      </c>
      <c r="R39" s="89">
        <v>1.1749000000000001</v>
      </c>
      <c r="S39" s="94">
        <v>0</v>
      </c>
      <c r="T39" s="169">
        <f t="shared" si="4"/>
        <v>6.8999999999999997E-5</v>
      </c>
      <c r="U39" s="89">
        <v>2.09</v>
      </c>
      <c r="V39" s="94">
        <f t="shared" si="5"/>
        <v>7.2166581156455379E-8</v>
      </c>
      <c r="W39" s="94">
        <f t="shared" si="6"/>
        <v>1.5008689604855432E-4</v>
      </c>
      <c r="X39" s="95">
        <v>2</v>
      </c>
      <c r="Y39" s="94" t="str">
        <f t="shared" si="7"/>
        <v>0.00030</v>
      </c>
      <c r="Z39" s="130">
        <f t="shared" si="8"/>
        <v>0.18</v>
      </c>
      <c r="AA39" s="107">
        <f t="shared" si="9"/>
        <v>0.02</v>
      </c>
      <c r="AC39" s="112">
        <f t="shared" si="10"/>
        <v>1</v>
      </c>
      <c r="AD39" s="112">
        <f t="shared" si="11"/>
        <v>1.8809779295364356E-5</v>
      </c>
      <c r="AE39" s="112">
        <f t="shared" si="12"/>
        <v>0.99884239203195169</v>
      </c>
      <c r="AF39" s="112">
        <f t="shared" si="13"/>
        <v>1.1062735312348546E-3</v>
      </c>
      <c r="AG39" s="112">
        <f t="shared" si="14"/>
        <v>3.2293458113931668E-5</v>
      </c>
      <c r="AH39" s="112">
        <f t="shared" si="15"/>
        <v>2.3119940425089099E-7</v>
      </c>
      <c r="AI39" s="66"/>
      <c r="AJ39" s="66"/>
      <c r="AK39" s="66"/>
    </row>
    <row r="40" spans="1:37" s="104" customFormat="1" ht="17.100000000000001" customHeight="1" x14ac:dyDescent="0.25">
      <c r="A40" s="108">
        <v>0.01</v>
      </c>
      <c r="B40" s="168">
        <f>VLOOKUP(Nom_X,'MPE Table'!$C$5:$AC$50,(HLOOKUP($A$5,'MPE Table'!$D$3:$AC$4,2,0)+1),0)</f>
        <v>5.0000000000000001E-3</v>
      </c>
      <c r="C40" s="98"/>
      <c r="D40" s="106">
        <f t="shared" si="0"/>
        <v>3.2546525345472048E-7</v>
      </c>
      <c r="E40" s="97">
        <v>2.0000000000000001E-4</v>
      </c>
      <c r="F40" s="99">
        <f t="shared" si="1"/>
        <v>2.0000026481890268E-4</v>
      </c>
      <c r="H40" s="100">
        <f t="shared" si="2"/>
        <v>6.3319789490640993E-12</v>
      </c>
      <c r="I40" s="97">
        <v>1.0000945454545456</v>
      </c>
      <c r="J40" s="97">
        <v>1.0003899999999999</v>
      </c>
      <c r="K40" s="97">
        <v>0.99987999999999999</v>
      </c>
      <c r="L40" s="100">
        <f t="shared" ref="L40" si="70">IF(B40="-","-",MAX(ABS(J40-I40)/10^(ROUND(LOG(I40),1)),ABS(K40-I40)/10^(ROUND(LOG(I40),1)))*B40/SQRT(3))</f>
        <v>8.5290380675675433E-7</v>
      </c>
      <c r="M40" s="97">
        <v>2.6970000000000001</v>
      </c>
      <c r="N40" s="97">
        <v>2.5000000000000001E-2</v>
      </c>
      <c r="O40" s="97">
        <v>0.2</v>
      </c>
      <c r="P40" s="97">
        <v>1</v>
      </c>
      <c r="Q40" s="97">
        <v>0.11</v>
      </c>
      <c r="R40" s="97">
        <v>1.1749000000000001</v>
      </c>
      <c r="S40" s="101">
        <v>0</v>
      </c>
      <c r="T40" s="168">
        <f t="shared" si="4"/>
        <v>6.8999999999999997E-5</v>
      </c>
      <c r="U40" s="97">
        <v>2.09</v>
      </c>
      <c r="V40" s="101">
        <f t="shared" si="5"/>
        <v>3.6270597240480252E-8</v>
      </c>
      <c r="W40" s="133">
        <f t="shared" si="6"/>
        <v>2.0001791586515461E-4</v>
      </c>
      <c r="X40" s="102">
        <v>2</v>
      </c>
      <c r="Y40" s="101" t="str">
        <f t="shared" si="7"/>
        <v>0.00040</v>
      </c>
      <c r="Z40" s="131">
        <f t="shared" ref="Z40" si="71">IF(OR(MPE_X="-",Y40="-"),"-",3*Uk_X/MPE_X)</f>
        <v>0.24000000000000002</v>
      </c>
      <c r="AA40" s="108">
        <f t="shared" ref="AA40" si="72">A40</f>
        <v>0.01</v>
      </c>
      <c r="AB40" s="103"/>
      <c r="AC40" s="113">
        <f t="shared" ref="AC40" si="73">SUM(AD40:AH40)</f>
        <v>1</v>
      </c>
      <c r="AD40" s="113">
        <f t="shared" ref="AD40" si="74">D40^2/$W40^2</f>
        <v>2.6477163976126803E-6</v>
      </c>
      <c r="AE40" s="113">
        <f t="shared" ref="AE40" si="75">E40^2/$W40^2</f>
        <v>0.99982086541894577</v>
      </c>
      <c r="AF40" s="113">
        <f t="shared" ref="AF40" si="76">H40/$W40^2</f>
        <v>1.5827111681669534E-4</v>
      </c>
      <c r="AG40" s="113">
        <f t="shared" ref="AG40" si="77">L40^2/$W40^2</f>
        <v>1.8182864826053001E-5</v>
      </c>
      <c r="AH40" s="113">
        <f t="shared" ref="AH40" si="78">V40^2/$W40^2</f>
        <v>3.2883014064201539E-8</v>
      </c>
    </row>
    <row r="41" spans="1:37" ht="17.100000000000001" customHeight="1" x14ac:dyDescent="0.25">
      <c r="A41" s="183">
        <v>0.01</v>
      </c>
      <c r="B41" s="184">
        <f>VLOOKUP(Nom_X,'MPE Table'!$C$5:$AC$50,(HLOOKUP($A$5,'MPE Table'!$D$3:$AC$4,2,0)+1),0)</f>
        <v>5.0000000000000001E-3</v>
      </c>
      <c r="C41" s="98"/>
      <c r="D41" s="185">
        <f t="shared" si="0"/>
        <v>3.2546525345472048E-7</v>
      </c>
      <c r="E41" s="97">
        <v>2.0000000000000001E-4</v>
      </c>
      <c r="F41" s="185">
        <f t="shared" si="1"/>
        <v>2.0000026481890268E-4</v>
      </c>
      <c r="G41" s="187"/>
      <c r="H41" s="184">
        <f t="shared" si="2"/>
        <v>6.3319789490640993E-12</v>
      </c>
      <c r="I41" s="97">
        <v>1.0000945454545456</v>
      </c>
      <c r="J41" s="97">
        <v>1.0003899999999999</v>
      </c>
      <c r="K41" s="97">
        <v>0.99987999999999999</v>
      </c>
      <c r="L41" s="184">
        <f t="shared" si="3"/>
        <v>8.5290380675675433E-7</v>
      </c>
      <c r="M41" s="97">
        <v>2.6970000000000001</v>
      </c>
      <c r="N41" s="97">
        <v>2.5000000000000001E-2</v>
      </c>
      <c r="O41" s="97">
        <v>0.2</v>
      </c>
      <c r="P41" s="97">
        <v>1</v>
      </c>
      <c r="Q41" s="97">
        <v>0.11</v>
      </c>
      <c r="R41" s="97">
        <v>1.1749000000000001</v>
      </c>
      <c r="S41" s="184">
        <v>0</v>
      </c>
      <c r="T41" s="184">
        <f t="shared" si="4"/>
        <v>6.8999999999999997E-5</v>
      </c>
      <c r="U41" s="97">
        <v>2.09</v>
      </c>
      <c r="V41" s="184">
        <f t="shared" si="5"/>
        <v>3.6270597240480252E-8</v>
      </c>
      <c r="W41" s="184">
        <f t="shared" si="6"/>
        <v>2.0001791586515461E-4</v>
      </c>
      <c r="X41" s="102">
        <v>2</v>
      </c>
      <c r="Y41" s="184" t="str">
        <f t="shared" si="7"/>
        <v>0.00040</v>
      </c>
      <c r="Z41" s="131">
        <f t="shared" si="8"/>
        <v>0.24000000000000002</v>
      </c>
      <c r="AA41" s="186">
        <f t="shared" si="9"/>
        <v>0.01</v>
      </c>
      <c r="AB41" s="140"/>
      <c r="AC41" s="112">
        <f t="shared" si="10"/>
        <v>1</v>
      </c>
      <c r="AD41" s="112">
        <f t="shared" si="11"/>
        <v>2.6477163976126803E-6</v>
      </c>
      <c r="AE41" s="112">
        <f t="shared" si="12"/>
        <v>0.99982086541894577</v>
      </c>
      <c r="AF41" s="112">
        <f t="shared" si="13"/>
        <v>1.5827111681669534E-4</v>
      </c>
      <c r="AG41" s="112">
        <f t="shared" si="14"/>
        <v>1.8182864826053001E-5</v>
      </c>
      <c r="AH41" s="112">
        <f t="shared" si="15"/>
        <v>3.2883014064201539E-8</v>
      </c>
      <c r="AI41" s="66"/>
      <c r="AJ41" s="66"/>
      <c r="AK41" s="66"/>
    </row>
    <row r="42" spans="1:37" ht="17.100000000000001" customHeight="1" x14ac:dyDescent="0.25">
      <c r="A42" s="107">
        <v>5.0000000000000001E-3</v>
      </c>
      <c r="B42" s="169">
        <f>VLOOKUP(Nom_X,'MPE Table'!$C$5:$AC$50,(HLOOKUP($A$5,'MPE Table'!$D$3:$AC$4,2,0)+1),0)</f>
        <v>5.0000000000000001E-3</v>
      </c>
      <c r="C42" s="90"/>
      <c r="D42" s="83">
        <f t="shared" si="0"/>
        <v>1.6273262672736024E-7</v>
      </c>
      <c r="E42" s="89">
        <v>1.7000000000000001E-4</v>
      </c>
      <c r="F42" s="92">
        <f t="shared" si="1"/>
        <v>1.7000007788794629E-4</v>
      </c>
      <c r="H42" s="93">
        <f t="shared" si="2"/>
        <v>1.8918885704505691E-12</v>
      </c>
      <c r="I42" s="89">
        <v>0.99982181818181803</v>
      </c>
      <c r="J42" s="89">
        <v>1</v>
      </c>
      <c r="K42" s="89">
        <v>0.99963999999999997</v>
      </c>
      <c r="L42" s="93">
        <f t="shared" si="3"/>
        <v>5.2486388108112881E-7</v>
      </c>
      <c r="M42" s="89">
        <v>2.6890000000000001</v>
      </c>
      <c r="N42" s="89">
        <v>2.5000000000000001E-2</v>
      </c>
      <c r="O42" s="89">
        <v>0.2</v>
      </c>
      <c r="P42" s="89">
        <v>1</v>
      </c>
      <c r="Q42" s="89">
        <v>0.11</v>
      </c>
      <c r="R42" s="89">
        <v>1.1581999999999999</v>
      </c>
      <c r="S42" s="94">
        <v>0</v>
      </c>
      <c r="T42" s="169">
        <f t="shared" si="4"/>
        <v>6.8999999999999997E-5</v>
      </c>
      <c r="U42" s="89">
        <v>2.16</v>
      </c>
      <c r="V42" s="94">
        <f t="shared" si="5"/>
        <v>1.8531261187766693E-8</v>
      </c>
      <c r="W42" s="94">
        <f t="shared" si="6"/>
        <v>1.700064533950978E-4</v>
      </c>
      <c r="X42" s="95">
        <v>2</v>
      </c>
      <c r="Y42" s="94" t="str">
        <f t="shared" si="7"/>
        <v>0.00034</v>
      </c>
      <c r="Z42" s="130">
        <f t="shared" si="8"/>
        <v>0.20400000000000001</v>
      </c>
      <c r="AA42" s="107">
        <f t="shared" si="9"/>
        <v>5.0000000000000001E-3</v>
      </c>
      <c r="AC42" s="112">
        <f t="shared" si="10"/>
        <v>1</v>
      </c>
      <c r="AD42" s="112">
        <f t="shared" si="11"/>
        <v>9.1625942383537534E-7</v>
      </c>
      <c r="AE42" s="112">
        <f t="shared" si="12"/>
        <v>0.99992408202765926</v>
      </c>
      <c r="AF42" s="112">
        <f t="shared" si="13"/>
        <v>6.5458302495031339E-5</v>
      </c>
      <c r="AG42" s="112">
        <f t="shared" si="14"/>
        <v>9.5315287066290031E-6</v>
      </c>
      <c r="AH42" s="112">
        <f t="shared" si="15"/>
        <v>1.1881715238665096E-8</v>
      </c>
      <c r="AI42" s="66"/>
      <c r="AJ42" s="66"/>
      <c r="AK42" s="66"/>
    </row>
    <row r="43" spans="1:37" ht="17.100000000000001" customHeight="1" x14ac:dyDescent="0.25">
      <c r="A43" s="107">
        <v>3.0000000000000001E-3</v>
      </c>
      <c r="B43" s="169">
        <f>VLOOKUP(Nom_X,'MPE Table'!$C$5:$AC$50,(HLOOKUP($A$5,'MPE Table'!$D$3:$AC$4,2,0)+1),0)</f>
        <v>5.0000000000000001E-3</v>
      </c>
      <c r="C43" s="90"/>
      <c r="D43" s="91">
        <f t="shared" si="0"/>
        <v>9.7639576036416147E-8</v>
      </c>
      <c r="E43" s="89">
        <v>1.8000000000000001E-4</v>
      </c>
      <c r="F43" s="92">
        <f t="shared" si="1"/>
        <v>1.8000002648190587E-4</v>
      </c>
      <c r="H43" s="93">
        <f t="shared" si="2"/>
        <v>6.6630130514827211E-13</v>
      </c>
      <c r="I43" s="89">
        <v>0.99982181818181803</v>
      </c>
      <c r="J43" s="89">
        <v>1</v>
      </c>
      <c r="K43" s="89">
        <v>0.99963999999999997</v>
      </c>
      <c r="L43" s="93">
        <f t="shared" si="3"/>
        <v>5.2486388108112881E-7</v>
      </c>
      <c r="M43" s="89">
        <v>2.7069999999999999</v>
      </c>
      <c r="N43" s="89">
        <v>2.5000000000000001E-2</v>
      </c>
      <c r="O43" s="89">
        <v>0.2</v>
      </c>
      <c r="P43" s="89">
        <v>1</v>
      </c>
      <c r="Q43" s="89">
        <v>0.11</v>
      </c>
      <c r="R43" s="89">
        <v>1.1581999999999999</v>
      </c>
      <c r="S43" s="94">
        <v>0</v>
      </c>
      <c r="T43" s="169">
        <f t="shared" si="4"/>
        <v>6.8999999999999997E-5</v>
      </c>
      <c r="U43" s="89">
        <v>2.16</v>
      </c>
      <c r="V43" s="94">
        <f t="shared" si="5"/>
        <v>1.1044823347005093E-8</v>
      </c>
      <c r="W43" s="94">
        <f t="shared" si="6"/>
        <v>1.8000264286635836E-4</v>
      </c>
      <c r="X43" s="95">
        <v>2</v>
      </c>
      <c r="Y43" s="94" t="str">
        <f t="shared" si="7"/>
        <v>0.00036</v>
      </c>
      <c r="Z43" s="130">
        <f t="shared" si="8"/>
        <v>0.216</v>
      </c>
      <c r="AA43" s="107">
        <f t="shared" si="9"/>
        <v>3.0000000000000001E-3</v>
      </c>
      <c r="AC43" s="112">
        <f t="shared" si="10"/>
        <v>0.99999999999999989</v>
      </c>
      <c r="AD43" s="112">
        <f t="shared" si="11"/>
        <v>2.9423477969640982E-7</v>
      </c>
      <c r="AE43" s="112">
        <f t="shared" si="12"/>
        <v>0.99997063546496345</v>
      </c>
      <c r="AF43" s="112">
        <f t="shared" si="13"/>
        <v>2.0564251219760867E-5</v>
      </c>
      <c r="AG43" s="112">
        <f t="shared" si="14"/>
        <v>8.5022840820973448E-6</v>
      </c>
      <c r="AH43" s="112">
        <f t="shared" si="15"/>
        <v>3.7649549580877699E-9</v>
      </c>
      <c r="AI43" s="66"/>
      <c r="AJ43" s="66"/>
      <c r="AK43" s="66"/>
    </row>
    <row r="44" spans="1:37" ht="17.100000000000001" customHeight="1" x14ac:dyDescent="0.25">
      <c r="A44" s="107">
        <v>2E-3</v>
      </c>
      <c r="B44" s="169">
        <f>VLOOKUP(Nom_X,'MPE Table'!$C$5:$AC$50,(HLOOKUP($A$5,'MPE Table'!$D$3:$AC$4,2,0)+1),0)</f>
        <v>5.0000000000000001E-3</v>
      </c>
      <c r="C44" s="90"/>
      <c r="D44" s="91">
        <f t="shared" si="0"/>
        <v>6.5093050690944107E-8</v>
      </c>
      <c r="E44" s="89">
        <v>1.4999999999999999E-4</v>
      </c>
      <c r="F44" s="92">
        <f t="shared" si="1"/>
        <v>1.5000001412368349E-4</v>
      </c>
      <c r="H44" s="93">
        <f t="shared" si="2"/>
        <v>2.9757839372720559E-13</v>
      </c>
      <c r="I44" s="89">
        <v>0.99982181818181803</v>
      </c>
      <c r="J44" s="89">
        <v>1</v>
      </c>
      <c r="K44" s="89">
        <v>0.99963999999999997</v>
      </c>
      <c r="L44" s="93">
        <f t="shared" si="3"/>
        <v>5.2486388108112881E-7</v>
      </c>
      <c r="M44" s="89">
        <v>2.7029999999999998</v>
      </c>
      <c r="N44" s="89">
        <v>2.5000000000000001E-2</v>
      </c>
      <c r="O44" s="89">
        <v>0.2</v>
      </c>
      <c r="P44" s="89">
        <v>1</v>
      </c>
      <c r="Q44" s="89">
        <v>0.11</v>
      </c>
      <c r="R44" s="89">
        <v>1.1581999999999999</v>
      </c>
      <c r="S44" s="94">
        <v>0</v>
      </c>
      <c r="T44" s="169">
        <f t="shared" si="4"/>
        <v>6.8999999999999997E-5</v>
      </c>
      <c r="U44" s="89">
        <v>2.16</v>
      </c>
      <c r="V44" s="94">
        <f t="shared" si="5"/>
        <v>7.3741119251061249E-9</v>
      </c>
      <c r="W44" s="94">
        <f t="shared" si="6"/>
        <v>1.5000192449422163E-4</v>
      </c>
      <c r="X44" s="95">
        <v>2</v>
      </c>
      <c r="Y44" s="94" t="str">
        <f t="shared" si="7"/>
        <v>0.00030</v>
      </c>
      <c r="Z44" s="130">
        <f t="shared" si="8"/>
        <v>0.18</v>
      </c>
      <c r="AA44" s="107">
        <f t="shared" si="9"/>
        <v>2E-3</v>
      </c>
      <c r="AC44" s="112">
        <f t="shared" si="10"/>
        <v>0.99999999999999978</v>
      </c>
      <c r="AD44" s="112">
        <f t="shared" si="11"/>
        <v>1.8831095673564197E-7</v>
      </c>
      <c r="AE44" s="112">
        <f t="shared" si="12"/>
        <v>0.9999743405708601</v>
      </c>
      <c r="AF44" s="112">
        <f t="shared" si="13"/>
        <v>1.3225367023799922E-5</v>
      </c>
      <c r="AG44" s="112">
        <f t="shared" si="14"/>
        <v>1.2243334442234831E-5</v>
      </c>
      <c r="AH44" s="112">
        <f t="shared" si="15"/>
        <v>2.4167169505644273E-9</v>
      </c>
      <c r="AI44" s="66"/>
      <c r="AJ44" s="66"/>
      <c r="AK44" s="66"/>
    </row>
    <row r="45" spans="1:37" ht="17.100000000000001" customHeight="1" x14ac:dyDescent="0.25">
      <c r="A45" s="108">
        <v>1E-3</v>
      </c>
      <c r="B45" s="168">
        <f>VLOOKUP(Nom_X,'MPE Table'!$C$5:$AC$50,(HLOOKUP($A$5,'MPE Table'!$D$3:$AC$4,2,0)+1),0)</f>
        <v>5.0000000000000001E-3</v>
      </c>
      <c r="C45" s="98"/>
      <c r="D45" s="106">
        <f t="shared" si="0"/>
        <v>3.2546525345472053E-8</v>
      </c>
      <c r="E45" s="97">
        <v>2.0000000000000001E-4</v>
      </c>
      <c r="F45" s="99">
        <f t="shared" si="1"/>
        <v>2.0000000264819076E-4</v>
      </c>
      <c r="G45" s="98"/>
      <c r="H45" s="100">
        <f t="shared" si="2"/>
        <v>7.385371901490479E-14</v>
      </c>
      <c r="I45" s="97">
        <v>0.99982181818181803</v>
      </c>
      <c r="J45" s="97">
        <v>1</v>
      </c>
      <c r="K45" s="97">
        <v>0.99963999999999997</v>
      </c>
      <c r="L45" s="100">
        <f t="shared" ref="L45" si="79">IF(B45="-","-",MAX(ABS(J45-I45)/10^(ROUND(LOG(I45),1)),ABS(K45-I45)/10^(ROUND(LOG(I45),1)))*B45/SQRT(3))</f>
        <v>5.2486388108112881E-7</v>
      </c>
      <c r="M45" s="97">
        <v>2.7090000000000001</v>
      </c>
      <c r="N45" s="97">
        <v>2.5000000000000001E-2</v>
      </c>
      <c r="O45" s="97">
        <v>0.2</v>
      </c>
      <c r="P45" s="97">
        <v>1</v>
      </c>
      <c r="Q45" s="97">
        <v>0.11</v>
      </c>
      <c r="R45" s="97">
        <v>1.1581999999999999</v>
      </c>
      <c r="S45" s="101">
        <v>0</v>
      </c>
      <c r="T45" s="168">
        <f t="shared" si="4"/>
        <v>6.8999999999999997E-5</v>
      </c>
      <c r="U45" s="97">
        <v>2.16</v>
      </c>
      <c r="V45" s="101">
        <f t="shared" si="5"/>
        <v>3.6788897256481831E-9</v>
      </c>
      <c r="W45" s="133">
        <f t="shared" si="6"/>
        <v>2.0000087601963952E-4</v>
      </c>
      <c r="X45" s="102">
        <v>2</v>
      </c>
      <c r="Y45" s="101" t="str">
        <f t="shared" si="7"/>
        <v>0.00040</v>
      </c>
      <c r="Z45" s="131">
        <f t="shared" ref="Z45" si="80">IF(OR(MPE_X="-",Y45="-"),"-",3*Uk_X/MPE_X)</f>
        <v>0.24000000000000002</v>
      </c>
      <c r="AA45" s="108">
        <f t="shared" ref="AA45" si="81">A45</f>
        <v>1E-3</v>
      </c>
      <c r="AB45" s="140"/>
      <c r="AC45" s="112">
        <f t="shared" ref="AC45" si="82">SUM(AD45:AH45)</f>
        <v>1</v>
      </c>
      <c r="AD45" s="112">
        <f t="shared" ref="AD45" si="83">D45^2/$W45^2</f>
        <v>2.6481675816397288E-8</v>
      </c>
      <c r="AE45" s="112">
        <f t="shared" ref="AE45" si="84">E45^2/$W45^2</f>
        <v>0.99999123986116023</v>
      </c>
      <c r="AF45" s="112">
        <f t="shared" ref="AF45" si="85">H45/$W45^2</f>
        <v>1.8463268011518096E-6</v>
      </c>
      <c r="AG45" s="112">
        <f t="shared" ref="AG45" si="86">L45^2/$W45^2</f>
        <v>6.8869920100539246E-6</v>
      </c>
      <c r="AH45" s="112">
        <f t="shared" ref="AH45" si="87">V45^2/$W45^2</f>
        <v>3.3835277629373155E-10</v>
      </c>
      <c r="AI45" s="66"/>
      <c r="AJ45" s="66"/>
      <c r="AK45" s="66"/>
    </row>
    <row r="46" spans="1:37" ht="17.100000000000001" customHeight="1" x14ac:dyDescent="0.25">
      <c r="A46" s="183">
        <v>1E-3</v>
      </c>
      <c r="B46" s="184">
        <f>VLOOKUP(Nom_X,'MPE Table'!$C$5:$AC$50,(HLOOKUP($A$5,'MPE Table'!$D$3:$AC$4,2,0)+1),0)</f>
        <v>5.0000000000000001E-3</v>
      </c>
      <c r="C46" s="98"/>
      <c r="D46" s="185">
        <f t="shared" si="0"/>
        <v>3.2546525345472053E-8</v>
      </c>
      <c r="E46" s="97">
        <v>2.0000000000000001E-4</v>
      </c>
      <c r="F46" s="185">
        <f t="shared" si="1"/>
        <v>2.0000000264819076E-4</v>
      </c>
      <c r="H46" s="184">
        <f t="shared" si="2"/>
        <v>7.385371901490479E-14</v>
      </c>
      <c r="I46" s="97">
        <v>0.99982181818181803</v>
      </c>
      <c r="J46" s="97">
        <v>1</v>
      </c>
      <c r="K46" s="97">
        <v>0.99963999999999997</v>
      </c>
      <c r="L46" s="184">
        <f t="shared" si="3"/>
        <v>5.2486388108112881E-7</v>
      </c>
      <c r="M46" s="97">
        <v>2.7090000000000001</v>
      </c>
      <c r="N46" s="97">
        <v>2.5000000000000001E-2</v>
      </c>
      <c r="O46" s="97">
        <v>0.2</v>
      </c>
      <c r="P46" s="97">
        <v>1</v>
      </c>
      <c r="Q46" s="97">
        <v>0.11</v>
      </c>
      <c r="R46" s="97">
        <v>1.1581999999999999</v>
      </c>
      <c r="S46" s="184">
        <v>0</v>
      </c>
      <c r="T46" s="184">
        <f t="shared" si="4"/>
        <v>6.8999999999999997E-5</v>
      </c>
      <c r="U46" s="97">
        <v>2.16</v>
      </c>
      <c r="V46" s="184">
        <f t="shared" si="5"/>
        <v>3.6788897256481831E-9</v>
      </c>
      <c r="W46" s="184">
        <f t="shared" si="6"/>
        <v>2.0000087601963952E-4</v>
      </c>
      <c r="X46" s="102">
        <v>2</v>
      </c>
      <c r="Y46" s="184" t="str">
        <f t="shared" si="7"/>
        <v>0.00040</v>
      </c>
      <c r="Z46" s="131">
        <f t="shared" si="8"/>
        <v>0.24000000000000002</v>
      </c>
      <c r="AA46" s="186">
        <f t="shared" si="9"/>
        <v>1E-3</v>
      </c>
      <c r="AB46" s="140"/>
      <c r="AC46" s="112">
        <f t="shared" si="10"/>
        <v>1</v>
      </c>
      <c r="AD46" s="112">
        <f t="shared" si="11"/>
        <v>2.6481675816397288E-8</v>
      </c>
      <c r="AE46" s="112">
        <f t="shared" si="12"/>
        <v>0.99999123986116023</v>
      </c>
      <c r="AF46" s="112">
        <f t="shared" si="13"/>
        <v>1.8463268011518096E-6</v>
      </c>
      <c r="AG46" s="112">
        <f t="shared" si="14"/>
        <v>6.8869920100539246E-6</v>
      </c>
      <c r="AH46" s="112">
        <f t="shared" si="15"/>
        <v>3.3835277629373155E-10</v>
      </c>
      <c r="AI46" s="66"/>
      <c r="AJ46" s="66"/>
      <c r="AK46" s="66"/>
    </row>
    <row r="47" spans="1:37" ht="17.100000000000001" customHeight="1" x14ac:dyDescent="0.25">
      <c r="A47" s="107">
        <v>5.0000000000000001E-4</v>
      </c>
      <c r="B47" s="169">
        <f>VLOOKUP(Nom_X,'MPE Table'!$C$5:$AC$50,(HLOOKUP($A$5,'MPE Table'!$D$3:$AC$4,2,0)+1),0)</f>
        <v>5.0000000000000001E-3</v>
      </c>
      <c r="C47" s="90"/>
      <c r="D47" s="83">
        <f t="shared" si="0"/>
        <v>1.6273262672736027E-8</v>
      </c>
      <c r="E47" s="89">
        <v>0</v>
      </c>
      <c r="F47" s="92">
        <f t="shared" si="1"/>
        <v>1.6273262672736027E-8</v>
      </c>
      <c r="G47" s="78"/>
      <c r="H47" s="93">
        <f t="shared" si="2"/>
        <v>0</v>
      </c>
      <c r="I47" s="89">
        <v>1</v>
      </c>
      <c r="J47" s="89">
        <v>1</v>
      </c>
      <c r="K47" s="89">
        <v>1</v>
      </c>
      <c r="L47" s="93">
        <f t="shared" si="3"/>
        <v>0</v>
      </c>
      <c r="M47" s="89">
        <v>8</v>
      </c>
      <c r="N47" s="89">
        <v>7.0000000000000007E-2</v>
      </c>
      <c r="O47" s="89">
        <v>0.2</v>
      </c>
      <c r="P47" s="89">
        <v>1</v>
      </c>
      <c r="Q47" s="89">
        <v>0.11</v>
      </c>
      <c r="R47" s="89">
        <v>1.2</v>
      </c>
      <c r="S47" s="94">
        <v>0</v>
      </c>
      <c r="T47" s="169">
        <f t="shared" si="4"/>
        <v>4.5000000000000003E-5</v>
      </c>
      <c r="U47" s="89">
        <v>0</v>
      </c>
      <c r="V47" s="94">
        <f t="shared" si="5"/>
        <v>0</v>
      </c>
      <c r="W47" s="94">
        <f t="shared" si="6"/>
        <v>1.6273262672736027E-8</v>
      </c>
      <c r="X47" s="95">
        <v>2</v>
      </c>
      <c r="Y47" s="94" t="str">
        <f t="shared" si="7"/>
        <v>0.000000033</v>
      </c>
      <c r="Z47" s="130">
        <f t="shared" si="8"/>
        <v>1.98E-5</v>
      </c>
      <c r="AA47" s="107">
        <f t="shared" si="9"/>
        <v>5.0000000000000001E-4</v>
      </c>
      <c r="AC47" s="112">
        <f t="shared" si="10"/>
        <v>1</v>
      </c>
      <c r="AD47" s="112">
        <f t="shared" si="11"/>
        <v>1</v>
      </c>
      <c r="AE47" s="112">
        <f t="shared" si="12"/>
        <v>0</v>
      </c>
      <c r="AF47" s="112">
        <f t="shared" si="13"/>
        <v>0</v>
      </c>
      <c r="AG47" s="112">
        <f t="shared" si="14"/>
        <v>0</v>
      </c>
      <c r="AH47" s="112">
        <f t="shared" si="15"/>
        <v>0</v>
      </c>
      <c r="AI47" s="66"/>
      <c r="AJ47" s="66"/>
      <c r="AK47" s="66"/>
    </row>
    <row r="48" spans="1:37" ht="17.100000000000001" customHeight="1" x14ac:dyDescent="0.25">
      <c r="A48" s="107">
        <v>2.9999999999999997E-4</v>
      </c>
      <c r="B48" s="169">
        <f>VLOOKUP(Nom_X,'MPE Table'!$C$5:$AC$50,(HLOOKUP($A$5,'MPE Table'!$D$3:$AC$4,2,0)+1),0)</f>
        <v>5.0000000000000001E-3</v>
      </c>
      <c r="C48" s="90"/>
      <c r="D48" s="91">
        <f t="shared" si="0"/>
        <v>9.7639576036416133E-9</v>
      </c>
      <c r="E48" s="89">
        <v>0</v>
      </c>
      <c r="F48" s="92">
        <f t="shared" si="1"/>
        <v>9.7639576036416133E-9</v>
      </c>
      <c r="H48" s="93">
        <f t="shared" si="2"/>
        <v>0</v>
      </c>
      <c r="I48" s="89">
        <v>1</v>
      </c>
      <c r="J48" s="89">
        <v>1</v>
      </c>
      <c r="K48" s="89">
        <v>1</v>
      </c>
      <c r="L48" s="93">
        <f t="shared" si="3"/>
        <v>0</v>
      </c>
      <c r="M48" s="89">
        <v>8</v>
      </c>
      <c r="N48" s="89">
        <v>7.0000000000000007E-2</v>
      </c>
      <c r="O48" s="89">
        <v>0.2</v>
      </c>
      <c r="P48" s="89">
        <v>1</v>
      </c>
      <c r="Q48" s="89">
        <v>0.11</v>
      </c>
      <c r="R48" s="89">
        <v>1.2</v>
      </c>
      <c r="S48" s="94">
        <v>0</v>
      </c>
      <c r="T48" s="169">
        <f t="shared" si="4"/>
        <v>4.5000000000000003E-5</v>
      </c>
      <c r="U48" s="89">
        <v>0</v>
      </c>
      <c r="V48" s="94">
        <f t="shared" si="5"/>
        <v>0</v>
      </c>
      <c r="W48" s="94">
        <f t="shared" si="6"/>
        <v>9.7639576036416133E-9</v>
      </c>
      <c r="X48" s="95">
        <v>2</v>
      </c>
      <c r="Y48" s="94" t="str">
        <f t="shared" si="7"/>
        <v>0.000000020</v>
      </c>
      <c r="Z48" s="130">
        <f t="shared" si="8"/>
        <v>1.2000000000000002E-5</v>
      </c>
      <c r="AA48" s="107">
        <f t="shared" si="9"/>
        <v>2.9999999999999997E-4</v>
      </c>
      <c r="AC48" s="112">
        <f t="shared" si="10"/>
        <v>1</v>
      </c>
      <c r="AD48" s="112">
        <f t="shared" si="11"/>
        <v>1</v>
      </c>
      <c r="AE48" s="112">
        <f t="shared" si="12"/>
        <v>0</v>
      </c>
      <c r="AF48" s="112">
        <f t="shared" si="13"/>
        <v>0</v>
      </c>
      <c r="AG48" s="112">
        <f t="shared" si="14"/>
        <v>0</v>
      </c>
      <c r="AH48" s="112">
        <f t="shared" si="15"/>
        <v>0</v>
      </c>
      <c r="AI48" s="66"/>
      <c r="AJ48" s="66"/>
      <c r="AK48" s="66"/>
    </row>
    <row r="49" spans="1:37" ht="16.5" customHeight="1" x14ac:dyDescent="0.25">
      <c r="A49" s="107">
        <v>2.0000000000000001E-4</v>
      </c>
      <c r="B49" s="169">
        <f>VLOOKUP(Nom_X,'MPE Table'!$C$5:$AC$50,(HLOOKUP($A$5,'MPE Table'!$D$3:$AC$4,2,0)+1),0)</f>
        <v>5.0000000000000001E-3</v>
      </c>
      <c r="C49" s="90"/>
      <c r="D49" s="91">
        <f t="shared" si="0"/>
        <v>6.50930506909441E-9</v>
      </c>
      <c r="E49" s="89">
        <v>0</v>
      </c>
      <c r="F49" s="92">
        <f t="shared" si="1"/>
        <v>6.50930506909441E-9</v>
      </c>
      <c r="H49" s="93">
        <f t="shared" si="2"/>
        <v>0</v>
      </c>
      <c r="I49" s="89">
        <v>1</v>
      </c>
      <c r="J49" s="89">
        <v>1</v>
      </c>
      <c r="K49" s="89">
        <v>1</v>
      </c>
      <c r="L49" s="93">
        <f t="shared" si="3"/>
        <v>0</v>
      </c>
      <c r="M49" s="89">
        <v>8</v>
      </c>
      <c r="N49" s="89">
        <v>7.0000000000000007E-2</v>
      </c>
      <c r="O49" s="89">
        <v>0.2</v>
      </c>
      <c r="P49" s="89">
        <v>1</v>
      </c>
      <c r="Q49" s="89">
        <v>0.11</v>
      </c>
      <c r="R49" s="89">
        <v>1.2</v>
      </c>
      <c r="S49" s="94">
        <v>0</v>
      </c>
      <c r="T49" s="169">
        <f t="shared" si="4"/>
        <v>4.5000000000000003E-5</v>
      </c>
      <c r="U49" s="89">
        <v>0</v>
      </c>
      <c r="V49" s="94">
        <f t="shared" si="5"/>
        <v>0</v>
      </c>
      <c r="W49" s="94">
        <f t="shared" si="6"/>
        <v>6.50930506909441E-9</v>
      </c>
      <c r="X49" s="95">
        <v>2</v>
      </c>
      <c r="Y49" s="94" t="str">
        <f t="shared" si="7"/>
        <v>0.000000013</v>
      </c>
      <c r="Z49" s="130">
        <f t="shared" si="8"/>
        <v>7.8000000000000016E-6</v>
      </c>
      <c r="AA49" s="107">
        <f t="shared" si="9"/>
        <v>2.0000000000000001E-4</v>
      </c>
      <c r="AB49" s="134"/>
      <c r="AC49" s="112">
        <f t="shared" si="10"/>
        <v>1</v>
      </c>
      <c r="AD49" s="112">
        <f t="shared" si="11"/>
        <v>1</v>
      </c>
      <c r="AE49" s="112">
        <f t="shared" si="12"/>
        <v>0</v>
      </c>
      <c r="AF49" s="112">
        <f t="shared" si="13"/>
        <v>0</v>
      </c>
      <c r="AG49" s="112">
        <f t="shared" si="14"/>
        <v>0</v>
      </c>
      <c r="AH49" s="112">
        <f t="shared" si="15"/>
        <v>0</v>
      </c>
      <c r="AI49" s="66"/>
      <c r="AJ49" s="66"/>
      <c r="AK49" s="66"/>
    </row>
    <row r="50" spans="1:37" ht="17.100000000000001" customHeight="1" x14ac:dyDescent="0.25">
      <c r="A50" s="108">
        <v>1E-4</v>
      </c>
      <c r="B50" s="168">
        <f>VLOOKUP(Nom_X,'MPE Table'!$C$5:$AC$50,(HLOOKUP($A$5,'MPE Table'!$D$3:$AC$4,2,0)+1),0)</f>
        <v>5.0000000000000001E-3</v>
      </c>
      <c r="C50" s="98"/>
      <c r="D50" s="106">
        <f t="shared" si="0"/>
        <v>3.254652534547205E-9</v>
      </c>
      <c r="E50" s="97">
        <v>0</v>
      </c>
      <c r="F50" s="99">
        <f t="shared" si="1"/>
        <v>3.254652534547205E-9</v>
      </c>
      <c r="H50" s="100">
        <f t="shared" si="2"/>
        <v>0</v>
      </c>
      <c r="I50" s="97">
        <v>1</v>
      </c>
      <c r="J50" s="97">
        <v>1</v>
      </c>
      <c r="K50" s="97">
        <v>1</v>
      </c>
      <c r="L50" s="100">
        <f t="shared" ref="L50" si="88">IF(B50="-","-",MAX(ABS(J50-I50)/10^(ROUND(LOG(I50),1)),ABS(K50-I50)/10^(ROUND(LOG(I50),1)))*B50/SQRT(3))</f>
        <v>0</v>
      </c>
      <c r="M50" s="97">
        <v>8</v>
      </c>
      <c r="N50" s="97">
        <v>7.0000000000000007E-2</v>
      </c>
      <c r="O50" s="97">
        <v>0.2</v>
      </c>
      <c r="P50" s="97">
        <v>1</v>
      </c>
      <c r="Q50" s="97">
        <v>0.11</v>
      </c>
      <c r="R50" s="97">
        <v>1.2</v>
      </c>
      <c r="S50" s="101">
        <v>0</v>
      </c>
      <c r="T50" s="168">
        <f t="shared" si="4"/>
        <v>4.5000000000000003E-5</v>
      </c>
      <c r="U50" s="97">
        <v>0</v>
      </c>
      <c r="V50" s="101">
        <f t="shared" si="5"/>
        <v>0</v>
      </c>
      <c r="W50" s="133">
        <f t="shared" si="6"/>
        <v>3.254652534547205E-9</v>
      </c>
      <c r="X50" s="102">
        <v>2</v>
      </c>
      <c r="Y50" s="101" t="str">
        <f t="shared" si="7"/>
        <v>0.0000000065</v>
      </c>
      <c r="Z50" s="131">
        <f t="shared" ref="Z50" si="89">IF(OR(MPE_X="-",Y50="-"),"-",3*Uk_X/MPE_X)</f>
        <v>3.9000000000000008E-6</v>
      </c>
      <c r="AA50" s="108">
        <f t="shared" ref="AA50" si="90">A50</f>
        <v>1E-4</v>
      </c>
      <c r="AB50" s="140"/>
      <c r="AC50" s="112">
        <f t="shared" ref="AC50" si="91">SUM(AD50:AH50)</f>
        <v>1</v>
      </c>
      <c r="AD50" s="112">
        <f t="shared" ref="AD50" si="92">D50^2/$W50^2</f>
        <v>1</v>
      </c>
      <c r="AE50" s="112">
        <f t="shared" ref="AE50" si="93">E50^2/$W50^2</f>
        <v>0</v>
      </c>
      <c r="AF50" s="112">
        <f t="shared" ref="AF50" si="94">H50/$W50^2</f>
        <v>0</v>
      </c>
      <c r="AG50" s="112">
        <f t="shared" ref="AG50" si="95">L50^2/$W50^2</f>
        <v>0</v>
      </c>
      <c r="AH50" s="112">
        <f t="shared" ref="AH50" si="96">V50^2/$W50^2</f>
        <v>0</v>
      </c>
      <c r="AI50" s="66"/>
      <c r="AJ50" s="66"/>
      <c r="AK50" s="66"/>
    </row>
    <row r="51" spans="1:37" ht="17.100000000000001" customHeight="1" x14ac:dyDescent="0.25">
      <c r="A51" s="183">
        <v>1E-4</v>
      </c>
      <c r="B51" s="184">
        <f>VLOOKUP(Nom_X,'MPE Table'!$C$5:$AC$50,(HLOOKUP($A$5,'MPE Table'!$D$3:$AC$4,2,0)+1),0)</f>
        <v>5.0000000000000001E-3</v>
      </c>
      <c r="C51" s="98"/>
      <c r="D51" s="185">
        <f t="shared" si="0"/>
        <v>3.254652534547205E-9</v>
      </c>
      <c r="E51" s="97">
        <v>0</v>
      </c>
      <c r="F51" s="185">
        <f t="shared" si="1"/>
        <v>3.254652534547205E-9</v>
      </c>
      <c r="H51" s="184">
        <f t="shared" si="2"/>
        <v>0</v>
      </c>
      <c r="I51" s="97">
        <v>1</v>
      </c>
      <c r="J51" s="97">
        <v>1</v>
      </c>
      <c r="K51" s="97">
        <v>1</v>
      </c>
      <c r="L51" s="184">
        <f t="shared" si="3"/>
        <v>0</v>
      </c>
      <c r="M51" s="97">
        <v>8</v>
      </c>
      <c r="N51" s="97">
        <v>7.0000000000000007E-2</v>
      </c>
      <c r="O51" s="97">
        <v>0.2</v>
      </c>
      <c r="P51" s="97">
        <v>1</v>
      </c>
      <c r="Q51" s="97">
        <v>0.11</v>
      </c>
      <c r="R51" s="97">
        <v>1.2</v>
      </c>
      <c r="S51" s="184">
        <v>0</v>
      </c>
      <c r="T51" s="184">
        <f t="shared" si="4"/>
        <v>4.5000000000000003E-5</v>
      </c>
      <c r="U51" s="97">
        <v>0</v>
      </c>
      <c r="V51" s="184">
        <f t="shared" si="5"/>
        <v>0</v>
      </c>
      <c r="W51" s="184">
        <f t="shared" si="6"/>
        <v>3.254652534547205E-9</v>
      </c>
      <c r="X51" s="102">
        <v>2</v>
      </c>
      <c r="Y51" s="184" t="str">
        <f t="shared" si="7"/>
        <v>0.0000000065</v>
      </c>
      <c r="Z51" s="131">
        <f t="shared" si="8"/>
        <v>3.9000000000000008E-6</v>
      </c>
      <c r="AA51" s="186">
        <f t="shared" si="9"/>
        <v>1E-4</v>
      </c>
      <c r="AB51" s="134"/>
      <c r="AC51" s="112">
        <f t="shared" si="10"/>
        <v>1</v>
      </c>
      <c r="AD51" s="112">
        <f t="shared" si="11"/>
        <v>1</v>
      </c>
      <c r="AE51" s="112">
        <f t="shared" si="12"/>
        <v>0</v>
      </c>
      <c r="AF51" s="112">
        <f t="shared" si="13"/>
        <v>0</v>
      </c>
      <c r="AG51" s="112">
        <f t="shared" si="14"/>
        <v>0</v>
      </c>
      <c r="AH51" s="112">
        <f t="shared" si="15"/>
        <v>0</v>
      </c>
      <c r="AI51" s="66"/>
      <c r="AJ51" s="66"/>
      <c r="AK51" s="66"/>
    </row>
    <row r="52" spans="1:37" ht="17.100000000000001" customHeight="1" x14ac:dyDescent="0.25">
      <c r="A52" s="108">
        <v>5.0000000000000002E-5</v>
      </c>
      <c r="B52" s="168">
        <f>VLOOKUP(Nom_X,'MPE Table'!$C$5:$AC$50,(HLOOKUP($A$5,'MPE Table'!$D$3:$AC$4,2,0)+1),0)</f>
        <v>5.0000000000000001E-3</v>
      </c>
      <c r="C52" s="98"/>
      <c r="D52" s="106">
        <f t="shared" si="0"/>
        <v>1.6273262672736025E-9</v>
      </c>
      <c r="E52" s="97">
        <v>0</v>
      </c>
      <c r="F52" s="99">
        <f t="shared" si="1"/>
        <v>1.6273262672736025E-9</v>
      </c>
      <c r="G52" s="161"/>
      <c r="H52" s="100">
        <f t="shared" si="2"/>
        <v>0</v>
      </c>
      <c r="I52" s="97">
        <v>1</v>
      </c>
      <c r="J52" s="97">
        <v>1</v>
      </c>
      <c r="K52" s="97">
        <v>1</v>
      </c>
      <c r="L52" s="100">
        <f t="shared" si="3"/>
        <v>0</v>
      </c>
      <c r="M52" s="97">
        <v>8</v>
      </c>
      <c r="N52" s="97">
        <v>7.0000000000000007E-2</v>
      </c>
      <c r="O52" s="97">
        <v>0.2</v>
      </c>
      <c r="P52" s="97">
        <v>1</v>
      </c>
      <c r="Q52" s="97">
        <v>0.11</v>
      </c>
      <c r="R52" s="97">
        <v>1.2</v>
      </c>
      <c r="S52" s="101">
        <v>0</v>
      </c>
      <c r="T52" s="168">
        <f t="shared" si="4"/>
        <v>4.5000000000000003E-5</v>
      </c>
      <c r="U52" s="97">
        <v>0</v>
      </c>
      <c r="V52" s="101">
        <f t="shared" si="5"/>
        <v>0</v>
      </c>
      <c r="W52" s="133">
        <f t="shared" si="6"/>
        <v>1.6273262672736025E-9</v>
      </c>
      <c r="X52" s="102">
        <v>2</v>
      </c>
      <c r="Y52" s="101" t="str">
        <f t="shared" si="7"/>
        <v>0.0000000033</v>
      </c>
      <c r="Z52" s="131">
        <f t="shared" si="8"/>
        <v>1.9800000000000001E-6</v>
      </c>
      <c r="AA52" s="108">
        <f t="shared" si="9"/>
        <v>5.0000000000000002E-5</v>
      </c>
      <c r="AC52" s="112">
        <f t="shared" si="10"/>
        <v>1</v>
      </c>
      <c r="AD52" s="112">
        <f t="shared" si="11"/>
        <v>1</v>
      </c>
      <c r="AE52" s="112">
        <f t="shared" si="12"/>
        <v>0</v>
      </c>
      <c r="AF52" s="112">
        <f t="shared" si="13"/>
        <v>0</v>
      </c>
      <c r="AG52" s="112">
        <f t="shared" si="14"/>
        <v>0</v>
      </c>
      <c r="AH52" s="112">
        <f t="shared" si="15"/>
        <v>0</v>
      </c>
      <c r="AI52" s="66"/>
      <c r="AJ52" s="66"/>
      <c r="AK52" s="66"/>
    </row>
    <row r="53" spans="1:37" x14ac:dyDescent="0.25">
      <c r="E53"/>
      <c r="N53" s="66"/>
      <c r="O53" s="109"/>
      <c r="T53" s="132"/>
      <c r="U53" s="132"/>
      <c r="AC53" s="66"/>
      <c r="AD53" s="71"/>
    </row>
    <row r="54" spans="1:37" x14ac:dyDescent="0.25">
      <c r="N54" s="66"/>
      <c r="O54" s="109"/>
      <c r="T54" s="132"/>
      <c r="U54" s="132"/>
      <c r="AC54" s="66"/>
      <c r="AD54" s="71"/>
    </row>
    <row r="55" spans="1:37" x14ac:dyDescent="0.25">
      <c r="N55" s="66"/>
      <c r="O55" s="109"/>
      <c r="T55" s="132"/>
      <c r="U55" s="132"/>
      <c r="AC55" s="66"/>
      <c r="AD55" s="71"/>
    </row>
    <row r="56" spans="1:37" x14ac:dyDescent="0.25">
      <c r="N56" s="66"/>
      <c r="O56" s="109"/>
      <c r="T56" s="132"/>
      <c r="U56" s="132"/>
      <c r="AC56" s="66"/>
      <c r="AD56" s="71"/>
    </row>
    <row r="57" spans="1:37" x14ac:dyDescent="0.25">
      <c r="N57" s="66"/>
      <c r="O57" s="109"/>
      <c r="T57" s="132"/>
      <c r="U57" s="132"/>
      <c r="AC57" s="66"/>
      <c r="AD57" s="71"/>
    </row>
    <row r="58" spans="1:37" x14ac:dyDescent="0.25">
      <c r="N58" s="66"/>
      <c r="O58" s="109"/>
      <c r="T58" s="132"/>
      <c r="U58" s="132"/>
      <c r="AC58" s="66"/>
      <c r="AD58" s="71"/>
    </row>
    <row r="59" spans="1:37" x14ac:dyDescent="0.25">
      <c r="N59" s="66"/>
      <c r="O59" s="109"/>
      <c r="T59" s="132"/>
      <c r="U59" s="132"/>
      <c r="AC59" s="66"/>
      <c r="AD59" s="71"/>
    </row>
    <row r="60" spans="1:37" x14ac:dyDescent="0.25">
      <c r="N60" s="66"/>
      <c r="T60" s="132"/>
      <c r="U60" s="132"/>
      <c r="AC60" s="66"/>
      <c r="AD60" s="71"/>
    </row>
    <row r="61" spans="1:37" x14ac:dyDescent="0.25">
      <c r="N61" s="66"/>
      <c r="T61" s="132"/>
      <c r="U61" s="132"/>
      <c r="AC61" s="66"/>
      <c r="AD61" s="71"/>
    </row>
    <row r="62" spans="1:37" x14ac:dyDescent="0.25">
      <c r="N62" s="66"/>
      <c r="T62" s="132"/>
      <c r="U62" s="132"/>
      <c r="AC62" s="66"/>
      <c r="AD62" s="71"/>
    </row>
    <row r="63" spans="1:37" x14ac:dyDescent="0.25">
      <c r="N63" s="66"/>
      <c r="T63" s="132"/>
      <c r="U63" s="132"/>
      <c r="AC63" s="66"/>
      <c r="AD63" s="71"/>
    </row>
    <row r="64" spans="1:37" x14ac:dyDescent="0.25">
      <c r="N64" s="66"/>
      <c r="T64" s="132"/>
      <c r="U64" s="132"/>
      <c r="AC64" s="66"/>
      <c r="AD64" s="71"/>
    </row>
    <row r="65" spans="14:30" x14ac:dyDescent="0.25">
      <c r="N65" s="66"/>
      <c r="T65" s="132"/>
      <c r="U65" s="132"/>
      <c r="AC65" s="66"/>
      <c r="AD65" s="71"/>
    </row>
    <row r="66" spans="14:30" x14ac:dyDescent="0.25">
      <c r="N66" s="66"/>
      <c r="T66" s="132"/>
      <c r="U66" s="132"/>
      <c r="AC66" s="66"/>
      <c r="AD66" s="71"/>
    </row>
    <row r="67" spans="14:30" x14ac:dyDescent="0.25">
      <c r="N67" s="66"/>
      <c r="T67" s="132"/>
      <c r="U67" s="132"/>
      <c r="AC67" s="66"/>
      <c r="AD67" s="71"/>
    </row>
    <row r="68" spans="14:30" x14ac:dyDescent="0.25">
      <c r="N68" s="66"/>
      <c r="T68" s="132"/>
      <c r="U68" s="132"/>
      <c r="AC68" s="66"/>
      <c r="AD68" s="71"/>
    </row>
    <row r="69" spans="14:30" x14ac:dyDescent="0.25">
      <c r="N69" s="66"/>
      <c r="T69" s="132"/>
      <c r="U69" s="132"/>
      <c r="V69" s="66"/>
      <c r="W69" s="66"/>
      <c r="X69" s="66"/>
      <c r="AC69" s="66"/>
      <c r="AD69" s="71"/>
    </row>
    <row r="70" spans="14:30" x14ac:dyDescent="0.25">
      <c r="N70" s="66"/>
      <c r="T70" s="132"/>
      <c r="U70" s="132"/>
      <c r="V70" s="66"/>
      <c r="W70" s="66"/>
      <c r="X70" s="110"/>
      <c r="AC70" s="66"/>
      <c r="AD70" s="71"/>
    </row>
    <row r="71" spans="14:30" x14ac:dyDescent="0.25">
      <c r="N71" s="66"/>
      <c r="T71" s="132"/>
      <c r="U71" s="132"/>
      <c r="V71" s="66"/>
      <c r="W71" s="66"/>
      <c r="X71" s="66"/>
      <c r="AC71" s="66"/>
      <c r="AD71" s="71"/>
    </row>
    <row r="72" spans="14:30" x14ac:dyDescent="0.25">
      <c r="N72" s="66"/>
      <c r="T72" s="132"/>
      <c r="U72" s="132"/>
      <c r="V72" s="66"/>
      <c r="W72" s="66"/>
      <c r="X72" s="110"/>
      <c r="AC72" s="66"/>
      <c r="AD72" s="71"/>
    </row>
    <row r="73" spans="14:30" x14ac:dyDescent="0.25">
      <c r="V73" s="66"/>
      <c r="W73" s="66"/>
      <c r="X73" s="66"/>
    </row>
    <row r="74" spans="14:30" x14ac:dyDescent="0.25">
      <c r="V74" s="66"/>
      <c r="W74" s="66"/>
      <c r="X74" s="66"/>
    </row>
    <row r="75" spans="14:30" x14ac:dyDescent="0.25">
      <c r="V75" s="66"/>
      <c r="W75" s="66"/>
      <c r="X75" s="66"/>
      <c r="Y75" s="66"/>
      <c r="Z75" s="66"/>
      <c r="AA75" s="66"/>
      <c r="AB75" s="66"/>
    </row>
    <row r="76" spans="14:30" x14ac:dyDescent="0.25">
      <c r="V76" s="66"/>
      <c r="W76" s="66"/>
      <c r="X76" s="66"/>
      <c r="Y76" s="66"/>
      <c r="Z76" s="66"/>
      <c r="AA76" s="66"/>
      <c r="AB76" s="66"/>
    </row>
    <row r="77" spans="14:30" x14ac:dyDescent="0.25">
      <c r="V77" s="66"/>
      <c r="W77" s="66"/>
      <c r="X77" s="66"/>
      <c r="Y77" s="66"/>
      <c r="Z77" s="66"/>
      <c r="AA77" s="66"/>
      <c r="AB77" s="66"/>
    </row>
    <row r="78" spans="14:30" x14ac:dyDescent="0.25">
      <c r="V78" s="66"/>
      <c r="W78" s="66"/>
      <c r="X78" s="66"/>
      <c r="Y78" s="66"/>
      <c r="Z78" s="66"/>
      <c r="AA78" s="66"/>
      <c r="AB78" s="66"/>
    </row>
    <row r="79" spans="14:30" x14ac:dyDescent="0.25">
      <c r="V79" s="66"/>
      <c r="W79" s="66"/>
      <c r="X79" s="66"/>
      <c r="Y79" s="66"/>
      <c r="Z79" s="66"/>
      <c r="AA79" s="66"/>
      <c r="AB79" s="66"/>
    </row>
    <row r="80" spans="14:30" x14ac:dyDescent="0.25">
      <c r="V80" s="66"/>
      <c r="W80" s="66"/>
      <c r="X80" s="66"/>
      <c r="Y80" s="66"/>
      <c r="Z80" s="66"/>
      <c r="AA80" s="66"/>
      <c r="AB80" s="66"/>
    </row>
    <row r="81" spans="5:28" x14ac:dyDescent="0.25">
      <c r="V81" s="66"/>
      <c r="W81" s="66"/>
      <c r="X81" s="66"/>
      <c r="Y81" s="66"/>
      <c r="Z81" s="66"/>
      <c r="AA81" s="66"/>
      <c r="AB81" s="66"/>
    </row>
    <row r="82" spans="5:28" x14ac:dyDescent="0.25">
      <c r="V82" s="66"/>
      <c r="W82" s="66"/>
      <c r="X82" s="66"/>
      <c r="Y82" s="66"/>
      <c r="Z82" s="66"/>
      <c r="AA82" s="66"/>
      <c r="AB82" s="66"/>
    </row>
    <row r="83" spans="5:28" x14ac:dyDescent="0.25">
      <c r="V83" s="66"/>
      <c r="W83" s="66"/>
      <c r="X83" s="66"/>
      <c r="Y83" s="66"/>
      <c r="Z83" s="66"/>
      <c r="AA83" s="66"/>
      <c r="AB83" s="66"/>
    </row>
    <row r="84" spans="5:28" x14ac:dyDescent="0.25">
      <c r="E84" s="111" t="s">
        <v>52</v>
      </c>
      <c r="V84" s="66"/>
      <c r="W84" s="66"/>
      <c r="X84" s="66"/>
      <c r="Y84" s="66"/>
      <c r="Z84" s="66"/>
      <c r="AA84" s="66"/>
      <c r="AB84" s="66"/>
    </row>
    <row r="85" spans="5:28" x14ac:dyDescent="0.25">
      <c r="V85" s="66"/>
      <c r="W85" s="66"/>
      <c r="X85" s="66"/>
    </row>
    <row r="86" spans="5:28" x14ac:dyDescent="0.25">
      <c r="V86" s="66"/>
      <c r="W86" s="66"/>
      <c r="X86" s="66"/>
    </row>
    <row r="87" spans="5:28" x14ac:dyDescent="0.25">
      <c r="V87" s="66"/>
      <c r="W87" s="66"/>
      <c r="X87" s="66"/>
    </row>
  </sheetData>
  <sheetProtection password="FFED" sheet="1" formatCells="0" formatColumns="0" formatRows="0"/>
  <mergeCells count="11">
    <mergeCell ref="AB1:AF1"/>
    <mergeCell ref="AN1:BJ1"/>
    <mergeCell ref="AQ2:AY2"/>
    <mergeCell ref="AZ2:BI2"/>
    <mergeCell ref="D6:F6"/>
    <mergeCell ref="BK2:BO2"/>
    <mergeCell ref="A5:B5"/>
    <mergeCell ref="A6:B6"/>
    <mergeCell ref="A4:B4"/>
    <mergeCell ref="H6:AA6"/>
    <mergeCell ref="AC6:AH6"/>
  </mergeCells>
  <conditionalFormatting sqref="Z8:Z9 Z52 Z17:Z19 Z12:Z14 Z22:Z24 Z27:Z29 Z42:Z44 Z37:Z39 Z32:Z34">
    <cfRule type="cellIs" dxfId="77" priority="39" operator="equal">
      <formula>"-"</formula>
    </cfRule>
    <cfRule type="expression" dxfId="76" priority="40">
      <formula>$Z8&gt;1</formula>
    </cfRule>
  </conditionalFormatting>
  <conditionalFormatting sqref="Z47:Z49">
    <cfRule type="cellIs" dxfId="75" priority="37" operator="equal">
      <formula>"-"</formula>
    </cfRule>
    <cfRule type="expression" dxfId="74" priority="38">
      <formula>$Z47&gt;1</formula>
    </cfRule>
  </conditionalFormatting>
  <conditionalFormatting sqref="Z51">
    <cfRule type="cellIs" dxfId="73" priority="35" operator="equal">
      <formula>"-"</formula>
    </cfRule>
    <cfRule type="expression" dxfId="72" priority="36">
      <formula>$Z51&gt;1</formula>
    </cfRule>
  </conditionalFormatting>
  <conditionalFormatting sqref="Z15">
    <cfRule type="cellIs" dxfId="71" priority="33" operator="equal">
      <formula>"-"</formula>
    </cfRule>
    <cfRule type="expression" dxfId="70" priority="34">
      <formula>$Z15&gt;1</formula>
    </cfRule>
  </conditionalFormatting>
  <conditionalFormatting sqref="Z10">
    <cfRule type="cellIs" dxfId="69" priority="31" operator="equal">
      <formula>"-"</formula>
    </cfRule>
    <cfRule type="expression" dxfId="68" priority="32">
      <formula>$Z10&gt;1</formula>
    </cfRule>
  </conditionalFormatting>
  <conditionalFormatting sqref="Z20">
    <cfRule type="cellIs" dxfId="67" priority="29" operator="equal">
      <formula>"-"</formula>
    </cfRule>
    <cfRule type="expression" dxfId="66" priority="30">
      <formula>$Z20&gt;1</formula>
    </cfRule>
  </conditionalFormatting>
  <conditionalFormatting sqref="Z25">
    <cfRule type="cellIs" dxfId="65" priority="27" operator="equal">
      <formula>"-"</formula>
    </cfRule>
    <cfRule type="expression" dxfId="64" priority="28">
      <formula>$Z25&gt;1</formula>
    </cfRule>
  </conditionalFormatting>
  <conditionalFormatting sqref="Z50">
    <cfRule type="cellIs" dxfId="63" priority="25" operator="equal">
      <formula>"-"</formula>
    </cfRule>
    <cfRule type="expression" dxfId="62" priority="26">
      <formula>$Z50&gt;1</formula>
    </cfRule>
  </conditionalFormatting>
  <conditionalFormatting sqref="Z45">
    <cfRule type="cellIs" dxfId="61" priority="23" operator="equal">
      <formula>"-"</formula>
    </cfRule>
    <cfRule type="expression" dxfId="60" priority="24">
      <formula>$Z45&gt;1</formula>
    </cfRule>
  </conditionalFormatting>
  <conditionalFormatting sqref="Z40">
    <cfRule type="cellIs" dxfId="59" priority="21" operator="equal">
      <formula>"-"</formula>
    </cfRule>
    <cfRule type="expression" dxfId="58" priority="22">
      <formula>$Z40&gt;1</formula>
    </cfRule>
  </conditionalFormatting>
  <conditionalFormatting sqref="Z35">
    <cfRule type="cellIs" dxfId="57" priority="19" operator="equal">
      <formula>"-"</formula>
    </cfRule>
    <cfRule type="expression" dxfId="56" priority="20">
      <formula>$Z35&gt;1</formula>
    </cfRule>
  </conditionalFormatting>
  <conditionalFormatting sqref="Z30">
    <cfRule type="cellIs" dxfId="55" priority="17" operator="equal">
      <formula>"-"</formula>
    </cfRule>
    <cfRule type="expression" dxfId="54" priority="18">
      <formula>$Z30&gt;1</formula>
    </cfRule>
  </conditionalFormatting>
  <conditionalFormatting sqref="Z46">
    <cfRule type="cellIs" dxfId="53" priority="15" operator="equal">
      <formula>"-"</formula>
    </cfRule>
    <cfRule type="expression" dxfId="52" priority="16">
      <formula>$Z46&gt;1</formula>
    </cfRule>
  </conditionalFormatting>
  <conditionalFormatting sqref="Z41">
    <cfRule type="cellIs" dxfId="51" priority="13" operator="equal">
      <formula>"-"</formula>
    </cfRule>
    <cfRule type="expression" dxfId="50" priority="14">
      <formula>$Z41&gt;1</formula>
    </cfRule>
  </conditionalFormatting>
  <conditionalFormatting sqref="Z36">
    <cfRule type="cellIs" dxfId="49" priority="11" operator="equal">
      <formula>"-"</formula>
    </cfRule>
    <cfRule type="expression" dxfId="48" priority="12">
      <formula>$Z36&gt;1</formula>
    </cfRule>
  </conditionalFormatting>
  <conditionalFormatting sqref="Z31">
    <cfRule type="cellIs" dxfId="47" priority="9" operator="equal">
      <formula>"-"</formula>
    </cfRule>
    <cfRule type="expression" dxfId="46" priority="10">
      <formula>$Z31&gt;1</formula>
    </cfRule>
  </conditionalFormatting>
  <conditionalFormatting sqref="Z26">
    <cfRule type="cellIs" dxfId="45" priority="7" operator="equal">
      <formula>"-"</formula>
    </cfRule>
    <cfRule type="expression" dxfId="44" priority="8">
      <formula>$Z26&gt;1</formula>
    </cfRule>
  </conditionalFormatting>
  <conditionalFormatting sqref="Z21">
    <cfRule type="cellIs" dxfId="43" priority="5" operator="equal">
      <formula>"-"</formula>
    </cfRule>
    <cfRule type="expression" dxfId="42" priority="6">
      <formula>$Z21&gt;1</formula>
    </cfRule>
  </conditionalFormatting>
  <conditionalFormatting sqref="Z16">
    <cfRule type="cellIs" dxfId="41" priority="3" operator="equal">
      <formula>"-"</formula>
    </cfRule>
    <cfRule type="expression" dxfId="40" priority="4">
      <formula>$Z16&gt;1</formula>
    </cfRule>
  </conditionalFormatting>
  <conditionalFormatting sqref="Z11">
    <cfRule type="cellIs" dxfId="39" priority="1" operator="equal">
      <formula>"-"</formula>
    </cfRule>
    <cfRule type="expression" dxfId="38" priority="2">
      <formula>$Z11&gt;1</formula>
    </cfRule>
  </conditionalFormatting>
  <printOptions headings="1"/>
  <pageMargins left="0.25" right="0.25" top="0.75" bottom="0.5" header="0.3" footer="0.3"/>
  <pageSetup paperSize="5" scale="54" orientation="landscape" r:id="rId1"/>
  <headerFooter>
    <oddHeader>&amp;L&amp;"Times New Roman,Bold"&amp;20Figure 8: 5321 Uncertainty Calculations Page</oddHeader>
  </headerFooter>
  <drawing r:id="rId2"/>
  <legacyDrawing r:id="rId3"/>
  <oleObjects>
    <mc:AlternateContent xmlns:mc="http://schemas.openxmlformats.org/markup-compatibility/2006">
      <mc:Choice Requires="x14">
        <oleObject progId="Equation.3" shapeId="22529" r:id="rId4">
          <objectPr defaultSize="0" autoPict="0" r:id="rId5">
            <anchor moveWithCells="1" sizeWithCells="1">
              <from>
                <xdr:col>3</xdr:col>
                <xdr:colOff>171450</xdr:colOff>
                <xdr:row>58</xdr:row>
                <xdr:rowOff>123825</xdr:rowOff>
              </from>
              <to>
                <xdr:col>5</xdr:col>
                <xdr:colOff>190500</xdr:colOff>
                <xdr:row>64</xdr:row>
                <xdr:rowOff>76200</xdr:rowOff>
              </to>
            </anchor>
          </objectPr>
        </oleObject>
      </mc:Choice>
      <mc:Fallback>
        <oleObject progId="Equation.3" shapeId="22529" r:id="rId4"/>
      </mc:Fallback>
    </mc:AlternateContent>
    <mc:AlternateContent xmlns:mc="http://schemas.openxmlformats.org/markup-compatibility/2006">
      <mc:Choice Requires="x14">
        <oleObject progId="Equation.3" shapeId="22530" r:id="rId6">
          <objectPr defaultSize="0" autoPict="0" r:id="rId7">
            <anchor moveWithCells="1" sizeWithCells="1">
              <from>
                <xdr:col>3</xdr:col>
                <xdr:colOff>628650</xdr:colOff>
                <xdr:row>71</xdr:row>
                <xdr:rowOff>123825</xdr:rowOff>
              </from>
              <to>
                <xdr:col>8</xdr:col>
                <xdr:colOff>762000</xdr:colOff>
                <xdr:row>75</xdr:row>
                <xdr:rowOff>180975</xdr:rowOff>
              </to>
            </anchor>
          </objectPr>
        </oleObject>
      </mc:Choice>
      <mc:Fallback>
        <oleObject progId="Equation.3" shapeId="22530" r:id="rId6"/>
      </mc:Fallback>
    </mc:AlternateContent>
    <mc:AlternateContent xmlns:mc="http://schemas.openxmlformats.org/markup-compatibility/2006">
      <mc:Choice Requires="x14">
        <oleObject progId="Equation.3" shapeId="22531" r:id="rId8">
          <objectPr defaultSize="0" autoPict="0" r:id="rId9">
            <anchor moveWithCells="1" sizeWithCells="1">
              <from>
                <xdr:col>5</xdr:col>
                <xdr:colOff>323850</xdr:colOff>
                <xdr:row>66</xdr:row>
                <xdr:rowOff>76200</xdr:rowOff>
              </from>
              <to>
                <xdr:col>7</xdr:col>
                <xdr:colOff>161925</xdr:colOff>
                <xdr:row>68</xdr:row>
                <xdr:rowOff>76200</xdr:rowOff>
              </to>
            </anchor>
          </objectPr>
        </oleObject>
      </mc:Choice>
      <mc:Fallback>
        <oleObject progId="Equation.3" shapeId="22531" r:id="rId8"/>
      </mc:Fallback>
    </mc:AlternateContent>
    <mc:AlternateContent xmlns:mc="http://schemas.openxmlformats.org/markup-compatibility/2006">
      <mc:Choice Requires="x14">
        <oleObject progId="Equation.3" shapeId="22532" r:id="rId10">
          <objectPr defaultSize="0" autoPict="0" r:id="rId11">
            <anchor moveWithCells="1" sizeWithCells="1">
              <from>
                <xdr:col>7</xdr:col>
                <xdr:colOff>695325</xdr:colOff>
                <xdr:row>66</xdr:row>
                <xdr:rowOff>85725</xdr:rowOff>
              </from>
              <to>
                <xdr:col>9</xdr:col>
                <xdr:colOff>876300</xdr:colOff>
                <xdr:row>68</xdr:row>
                <xdr:rowOff>171450</xdr:rowOff>
              </to>
            </anchor>
          </objectPr>
        </oleObject>
      </mc:Choice>
      <mc:Fallback>
        <oleObject progId="Equation.3" shapeId="22532" r:id="rId10"/>
      </mc:Fallback>
    </mc:AlternateContent>
    <mc:AlternateContent xmlns:mc="http://schemas.openxmlformats.org/markup-compatibility/2006">
      <mc:Choice Requires="x14">
        <oleObject progId="Equation.3" shapeId="22533" r:id="rId12">
          <objectPr defaultSize="0" autoPict="0" r:id="rId13">
            <anchor moveWithCells="1" sizeWithCells="1">
              <from>
                <xdr:col>9</xdr:col>
                <xdr:colOff>361950</xdr:colOff>
                <xdr:row>69</xdr:row>
                <xdr:rowOff>142875</xdr:rowOff>
              </from>
              <to>
                <xdr:col>11</xdr:col>
                <xdr:colOff>38100</xdr:colOff>
                <xdr:row>72</xdr:row>
                <xdr:rowOff>57150</xdr:rowOff>
              </to>
            </anchor>
          </objectPr>
        </oleObject>
      </mc:Choice>
      <mc:Fallback>
        <oleObject progId="Equation.3" shapeId="22533" r:id="rId12"/>
      </mc:Fallback>
    </mc:AlternateContent>
    <mc:AlternateContent xmlns:mc="http://schemas.openxmlformats.org/markup-compatibility/2006">
      <mc:Choice Requires="x14">
        <oleObject progId="Equation.3" shapeId="22534" r:id="rId14">
          <objectPr defaultSize="0" autoPict="0" r:id="rId15">
            <anchor moveWithCells="1" sizeWithCells="1">
              <from>
                <xdr:col>3</xdr:col>
                <xdr:colOff>152400</xdr:colOff>
                <xdr:row>53</xdr:row>
                <xdr:rowOff>76200</xdr:rowOff>
              </from>
              <to>
                <xdr:col>13</xdr:col>
                <xdr:colOff>161925</xdr:colOff>
                <xdr:row>58</xdr:row>
                <xdr:rowOff>76200</xdr:rowOff>
              </to>
            </anchor>
          </objectPr>
        </oleObject>
      </mc:Choice>
      <mc:Fallback>
        <oleObject progId="Equation.3" shapeId="22534" r:id="rId14"/>
      </mc:Fallback>
    </mc:AlternateContent>
    <mc:AlternateContent xmlns:mc="http://schemas.openxmlformats.org/markup-compatibility/2006">
      <mc:Choice Requires="x14">
        <oleObject progId="Equation.3" shapeId="22535" r:id="rId16">
          <objectPr defaultSize="0" autoPict="0" r:id="rId17">
            <anchor moveWithCells="1">
              <from>
                <xdr:col>7</xdr:col>
                <xdr:colOff>581025</xdr:colOff>
                <xdr:row>58</xdr:row>
                <xdr:rowOff>171450</xdr:rowOff>
              </from>
              <to>
                <xdr:col>11</xdr:col>
                <xdr:colOff>133350</xdr:colOff>
                <xdr:row>62</xdr:row>
                <xdr:rowOff>76200</xdr:rowOff>
              </to>
            </anchor>
          </objectPr>
        </oleObject>
      </mc:Choice>
      <mc:Fallback>
        <oleObject progId="Equation.3" shapeId="22535" r:id="rId16"/>
      </mc:Fallback>
    </mc:AlternateContent>
    <mc:AlternateContent xmlns:mc="http://schemas.openxmlformats.org/markup-compatibility/2006">
      <mc:Choice Requires="x14">
        <oleObject progId="Equation.3" shapeId="22536" r:id="rId18">
          <objectPr defaultSize="0" autoPict="0" r:id="rId19">
            <anchor moveWithCells="1">
              <from>
                <xdr:col>3</xdr:col>
                <xdr:colOff>714375</xdr:colOff>
                <xdr:row>79</xdr:row>
                <xdr:rowOff>38100</xdr:rowOff>
              </from>
              <to>
                <xdr:col>7</xdr:col>
                <xdr:colOff>247650</xdr:colOff>
                <xdr:row>82</xdr:row>
                <xdr:rowOff>47625</xdr:rowOff>
              </to>
            </anchor>
          </objectPr>
        </oleObject>
      </mc:Choice>
      <mc:Fallback>
        <oleObject progId="Equation.3" shapeId="22536" r:id="rId18"/>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promptTitle="Select the MPE Classification" prompt="Select the MPE/tolerance classification from the list." xr:uid="{760E5462-2ABC-4A43-9789-51F66F426B4D}">
          <x14:formula1>
            <xm:f>'MPE Table'!$D$3:$AC$3</xm:f>
          </x14:formula1>
          <xm:sqref>A5:B5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7400-8E69-4F25-BB87-BD042BB8796C}">
  <dimension ref="A1:BO84"/>
  <sheetViews>
    <sheetView zoomScaleNormal="100" workbookViewId="0"/>
  </sheetViews>
  <sheetFormatPr defaultRowHeight="15" x14ac:dyDescent="0.25"/>
  <cols>
    <col min="1" max="1" width="9.7109375" style="66" customWidth="1"/>
    <col min="2" max="2" width="12.5703125" style="66" customWidth="1"/>
    <col min="3" max="3" width="1.7109375" style="66" customWidth="1"/>
    <col min="4" max="4" width="13.7109375" style="66" customWidth="1"/>
    <col min="5" max="5" width="11.28515625" style="66" customWidth="1"/>
    <col min="6" max="6" width="11.42578125" style="66" customWidth="1"/>
    <col min="7" max="7" width="12.28515625" style="66" customWidth="1"/>
    <col min="8" max="8" width="14.85546875" style="134" customWidth="1"/>
    <col min="9" max="9" width="13.7109375" style="134" customWidth="1"/>
    <col min="10" max="10" width="13.7109375" style="66" customWidth="1"/>
    <col min="11" max="12" width="12.7109375" style="66" customWidth="1"/>
    <col min="13" max="13" width="11.7109375" style="66" customWidth="1"/>
    <col min="14" max="14" width="10.5703125" style="75" customWidth="1"/>
    <col min="15" max="18" width="9.7109375" style="66" customWidth="1"/>
    <col min="19" max="19" width="12.7109375" style="66" customWidth="1"/>
    <col min="20" max="20" width="13.140625" style="66" customWidth="1"/>
    <col min="21" max="21" width="12.140625" style="66" customWidth="1"/>
    <col min="22" max="22" width="12.5703125" style="134" customWidth="1"/>
    <col min="23" max="23" width="12.85546875" style="134" customWidth="1"/>
    <col min="24" max="24" width="12.28515625" style="134" customWidth="1"/>
    <col min="25" max="26" width="11.5703125" style="134" bestFit="1" customWidth="1"/>
    <col min="27" max="27" width="14" style="134" bestFit="1" customWidth="1"/>
    <col min="28" max="28" width="10" style="134" customWidth="1"/>
    <col min="29" max="29" width="11.7109375" style="134" customWidth="1"/>
    <col min="30" max="30" width="10.85546875" style="134" customWidth="1"/>
    <col min="31" max="31" width="12.7109375" style="134" customWidth="1"/>
    <col min="32" max="32" width="11.28515625" style="134" customWidth="1"/>
    <col min="33" max="33" width="13.85546875" style="134" bestFit="1" customWidth="1"/>
    <col min="34" max="34" width="13.42578125" style="134" customWidth="1"/>
    <col min="35" max="35" width="14.42578125" style="134" customWidth="1"/>
    <col min="36" max="36" width="13.140625" style="134" customWidth="1"/>
    <col min="37" max="42" width="9.140625" style="66" customWidth="1"/>
    <col min="43" max="50" width="9.140625" style="66"/>
    <col min="51" max="51" width="11.5703125" style="66" bestFit="1" customWidth="1"/>
    <col min="52" max="16384" width="9.140625" style="66"/>
  </cols>
  <sheetData>
    <row r="1" spans="1:67" ht="97.5" customHeight="1" thickTop="1" thickBot="1" x14ac:dyDescent="0.4">
      <c r="A1" s="63" t="s">
        <v>10</v>
      </c>
      <c r="B1" s="63" t="s">
        <v>44</v>
      </c>
      <c r="C1" s="128"/>
      <c r="D1" s="63" t="s">
        <v>12</v>
      </c>
      <c r="E1" s="63" t="s">
        <v>31</v>
      </c>
      <c r="F1" s="63" t="s">
        <v>13</v>
      </c>
      <c r="G1" s="63" t="s">
        <v>14</v>
      </c>
      <c r="H1" s="63" t="s">
        <v>15</v>
      </c>
      <c r="I1" s="63" t="s">
        <v>16</v>
      </c>
      <c r="J1" s="64" t="s">
        <v>9</v>
      </c>
      <c r="K1" s="64" t="s">
        <v>57</v>
      </c>
      <c r="L1" s="64" t="str">
        <f>CONCATENATE("Uncertainty due to u(CCE) of Restraint
(10 % @ 
"&amp;U3&amp;" °C)")</f>
        <v>Uncertainty due to u(CCE) of Restraint
(10 % @ 
1.07 °C)</v>
      </c>
      <c r="M1" s="65" t="s">
        <v>0</v>
      </c>
      <c r="N1" s="65" t="s">
        <v>58</v>
      </c>
      <c r="O1" s="65" t="s">
        <v>59</v>
      </c>
      <c r="P1" s="65" t="s">
        <v>60</v>
      </c>
      <c r="Q1" s="65" t="s">
        <v>61</v>
      </c>
      <c r="R1" s="76"/>
      <c r="S1" s="65" t="s">
        <v>1</v>
      </c>
      <c r="T1" s="65" t="s">
        <v>62</v>
      </c>
      <c r="U1" s="65" t="s">
        <v>5</v>
      </c>
      <c r="V1" s="65" t="s">
        <v>67</v>
      </c>
      <c r="W1"/>
      <c r="X1" s="64" t="s">
        <v>174</v>
      </c>
      <c r="AA1" s="66"/>
      <c r="AB1" s="207"/>
      <c r="AC1" s="207"/>
      <c r="AD1" s="207"/>
      <c r="AE1" s="207"/>
      <c r="AM1" s="208" t="s">
        <v>17</v>
      </c>
      <c r="AN1" s="209"/>
      <c r="AO1" s="209"/>
      <c r="AP1" s="209"/>
      <c r="AQ1" s="209"/>
      <c r="AR1" s="209"/>
      <c r="AS1" s="209"/>
      <c r="AT1" s="209"/>
      <c r="AU1" s="209"/>
      <c r="AV1" s="209"/>
      <c r="AW1" s="209"/>
      <c r="AX1" s="209"/>
      <c r="AY1" s="209"/>
      <c r="AZ1" s="209"/>
      <c r="BA1" s="209"/>
      <c r="BB1" s="209"/>
      <c r="BC1" s="209"/>
      <c r="BD1" s="209"/>
      <c r="BE1" s="209"/>
      <c r="BF1" s="209"/>
      <c r="BG1" s="209"/>
      <c r="BH1" s="209"/>
      <c r="BI1" s="210"/>
      <c r="BJ1" s="2"/>
      <c r="BK1" s="2"/>
      <c r="BL1" s="2"/>
      <c r="BM1" s="2"/>
      <c r="BN1" s="2"/>
      <c r="BO1" s="2"/>
    </row>
    <row r="2" spans="1:67" ht="16.5" thickTop="1" x14ac:dyDescent="0.25">
      <c r="A2" s="67" t="s">
        <v>55</v>
      </c>
      <c r="B2" s="67" t="s">
        <v>121</v>
      </c>
      <c r="C2" s="128"/>
      <c r="D2" s="68" t="s">
        <v>32</v>
      </c>
      <c r="E2" s="68" t="s">
        <v>7</v>
      </c>
      <c r="F2" s="67" t="s">
        <v>7</v>
      </c>
      <c r="G2" s="67" t="s">
        <v>7</v>
      </c>
      <c r="H2" s="68" t="s">
        <v>32</v>
      </c>
      <c r="I2" s="68" t="s">
        <v>32</v>
      </c>
      <c r="J2" s="68" t="s">
        <v>32</v>
      </c>
      <c r="K2" s="69" t="s">
        <v>54</v>
      </c>
      <c r="L2" s="69" t="s">
        <v>32</v>
      </c>
      <c r="M2" s="67" t="s">
        <v>64</v>
      </c>
      <c r="N2" s="67" t="s">
        <v>64</v>
      </c>
      <c r="O2" s="67" t="s">
        <v>6</v>
      </c>
      <c r="P2" s="67" t="s">
        <v>65</v>
      </c>
      <c r="Q2" s="67" t="s">
        <v>66</v>
      </c>
      <c r="R2" s="76"/>
      <c r="S2" s="67" t="s">
        <v>74</v>
      </c>
      <c r="T2" s="67" t="s">
        <v>74</v>
      </c>
      <c r="U2" s="68" t="s">
        <v>6</v>
      </c>
      <c r="V2" s="70" t="s">
        <v>68</v>
      </c>
      <c r="W2"/>
      <c r="X2" s="69" t="s">
        <v>32</v>
      </c>
      <c r="AA2" s="66"/>
      <c r="AB2" s="71"/>
      <c r="AM2" s="4"/>
      <c r="AN2" s="5"/>
      <c r="AO2" s="6"/>
      <c r="AP2" s="211" t="s">
        <v>18</v>
      </c>
      <c r="AQ2" s="212"/>
      <c r="AR2" s="212"/>
      <c r="AS2" s="212"/>
      <c r="AT2" s="212"/>
      <c r="AU2" s="212"/>
      <c r="AV2" s="212"/>
      <c r="AW2" s="212"/>
      <c r="AX2" s="213"/>
      <c r="AY2" s="214"/>
      <c r="AZ2" s="214"/>
      <c r="BA2" s="214"/>
      <c r="BB2" s="214"/>
      <c r="BC2" s="214"/>
      <c r="BD2" s="214"/>
      <c r="BE2" s="214"/>
      <c r="BF2" s="214"/>
      <c r="BG2" s="214"/>
      <c r="BH2" s="215"/>
      <c r="BI2" s="7" t="s">
        <v>19</v>
      </c>
      <c r="BJ2" s="194" t="s">
        <v>20</v>
      </c>
      <c r="BK2" s="195"/>
      <c r="BL2" s="195"/>
      <c r="BM2" s="195"/>
      <c r="BN2" s="195"/>
      <c r="BO2" s="8"/>
    </row>
    <row r="3" spans="1:67" ht="19.5" customHeight="1" thickBot="1" x14ac:dyDescent="0.3">
      <c r="A3" s="119">
        <f>(504*453.59237)/8.027</f>
        <v>28480.198639591385</v>
      </c>
      <c r="B3" s="119">
        <v>504</v>
      </c>
      <c r="C3" s="73"/>
      <c r="D3" s="72">
        <v>160.5</v>
      </c>
      <c r="E3" s="72">
        <v>999.6</v>
      </c>
      <c r="F3" s="72">
        <v>1001.4</v>
      </c>
      <c r="G3" s="72">
        <v>996.4</v>
      </c>
      <c r="H3" s="72">
        <v>2748</v>
      </c>
      <c r="I3" s="72">
        <v>449.8</v>
      </c>
      <c r="J3" s="74">
        <f>SQRT(SUMSQ(u_Cal_R,u_Sens_R,u_Max_d_t_R)+u²_R)</f>
        <v>160.54797962637002</v>
      </c>
      <c r="K3" s="74">
        <f>((((Vol_R*Eff_Rho_R)*((1-0.0012/8)/0.99985))*(8-Eff_Rho_R)/(8*Eff_Rho_R)*SQRT((0.00001*(RhoA_R*0.001)*u_BP_R/760*101325)^2+(0.000022*(RhoA_R*0.001))^2+(-0.004*(RhoA_R*0.001)*u_t_R)^2+(-0.009*u_RH_R/100*(RhoA_R*0.001))^2))^2+((((Vol_R*Eff_Rho_R)*((1-0.0012/8)/0.99985))*((RhoA_R*0.001)-0.0012)/Eff_Rho_R)^2*(u_Rho_R^2/Eff_Rho_R^2))+(((Vol_R*Eff_Rho_R)*((1-0.0012/8)/0.99985))^2*((RhoA_R*0.001)-0.0012))*(((RhoA_R*0.001)-0.0012)-2*((Cal_Rho_A_R*0.001)-0.0012))*(u_Rho_R^2/Eff_Rho_R^4))*1000000</f>
        <v>-2.6334159828713264</v>
      </c>
      <c r="L3" s="74">
        <f>ABS(RhoA_R*(Vol_R*Max_d_t_R*0.1*Eff_CCE_R))/SQRT(3)</f>
        <v>9.4319137328164576E-2</v>
      </c>
      <c r="M3" s="72">
        <v>8.0269999999999992</v>
      </c>
      <c r="N3" s="72">
        <v>2.5000000000000001E-2</v>
      </c>
      <c r="O3" s="72">
        <v>0.2</v>
      </c>
      <c r="P3" s="72">
        <v>1</v>
      </c>
      <c r="Q3" s="72">
        <v>0.11</v>
      </c>
      <c r="S3" s="72">
        <v>1.1913</v>
      </c>
      <c r="T3" s="72">
        <v>1.1719999999999999</v>
      </c>
      <c r="U3" s="72">
        <v>1.07</v>
      </c>
      <c r="V3" s="72">
        <v>4.5000000000000003E-5</v>
      </c>
      <c r="W3"/>
      <c r="X3" s="166">
        <f>MAX(ABS(Max_Sens_R-Avg_Sens_R)/10^(ROUND(LOG(Avg_Sens_R),1)),ABS(Min_Sens_R-Avg_Sens_R)/10^(ROUND(LOG(Avg_Sens_R),1)))*((MaxAi_R-MinAi_R)/SQRT(3))</f>
        <v>4.245972443685174</v>
      </c>
      <c r="AA3" s="66"/>
      <c r="AB3" s="71"/>
      <c r="AM3" s="9" t="s">
        <v>3</v>
      </c>
      <c r="AN3" s="10" t="s">
        <v>21</v>
      </c>
      <c r="AO3" s="10" t="s">
        <v>22</v>
      </c>
      <c r="AP3" s="11" t="s">
        <v>77</v>
      </c>
      <c r="AQ3" s="11" t="s">
        <v>78</v>
      </c>
      <c r="AR3" s="11" t="s">
        <v>79</v>
      </c>
      <c r="AS3" s="11" t="s">
        <v>80</v>
      </c>
      <c r="AT3" s="11" t="s">
        <v>81</v>
      </c>
      <c r="AU3" s="11" t="s">
        <v>82</v>
      </c>
      <c r="AV3" s="11" t="s">
        <v>83</v>
      </c>
      <c r="AW3" s="11" t="s">
        <v>84</v>
      </c>
      <c r="AX3" s="11" t="s">
        <v>85</v>
      </c>
      <c r="AY3" s="60" t="s">
        <v>86</v>
      </c>
      <c r="AZ3" s="60" t="s">
        <v>87</v>
      </c>
      <c r="BA3" s="61" t="s">
        <v>88</v>
      </c>
      <c r="BB3" s="61" t="s">
        <v>89</v>
      </c>
      <c r="BC3" s="61" t="s">
        <v>90</v>
      </c>
      <c r="BD3" s="61" t="s">
        <v>91</v>
      </c>
      <c r="BE3" s="61" t="s">
        <v>92</v>
      </c>
      <c r="BF3" s="61" t="s">
        <v>93</v>
      </c>
      <c r="BG3" s="61" t="s">
        <v>94</v>
      </c>
      <c r="BH3" s="61" t="s">
        <v>95</v>
      </c>
      <c r="BI3" s="62" t="s">
        <v>96</v>
      </c>
      <c r="BJ3" s="12" t="s">
        <v>97</v>
      </c>
      <c r="BK3" s="13" t="s">
        <v>98</v>
      </c>
      <c r="BL3" s="13" t="s">
        <v>99</v>
      </c>
      <c r="BM3" s="13" t="s">
        <v>100</v>
      </c>
      <c r="BN3" s="13" t="s">
        <v>101</v>
      </c>
      <c r="BO3" s="14" t="s">
        <v>23</v>
      </c>
    </row>
    <row r="4" spans="1:67" ht="29.25" customHeight="1" thickTop="1" thickBot="1" x14ac:dyDescent="0.3">
      <c r="A4" s="199" t="s">
        <v>76</v>
      </c>
      <c r="B4" s="200"/>
      <c r="I4" s="140"/>
      <c r="V4" s="66"/>
      <c r="W4"/>
      <c r="X4" s="66"/>
      <c r="Y4" s="66"/>
      <c r="Z4" s="66"/>
      <c r="AA4" s="66"/>
      <c r="AB4" s="66"/>
      <c r="AC4" s="66"/>
      <c r="AD4" s="66"/>
      <c r="AM4" s="16"/>
      <c r="AN4" s="17"/>
      <c r="AO4" s="18"/>
      <c r="AP4" s="19">
        <v>1</v>
      </c>
      <c r="AQ4" s="19">
        <v>2</v>
      </c>
      <c r="AR4" s="19">
        <v>3</v>
      </c>
      <c r="AS4" s="19">
        <v>4</v>
      </c>
      <c r="AT4" s="19">
        <v>5</v>
      </c>
      <c r="AU4" s="19">
        <v>6</v>
      </c>
      <c r="AV4" s="19">
        <v>7</v>
      </c>
      <c r="AW4" s="19">
        <v>8</v>
      </c>
      <c r="AX4" s="19">
        <v>9</v>
      </c>
      <c r="AY4" s="19">
        <v>10</v>
      </c>
      <c r="AZ4" s="19">
        <v>11</v>
      </c>
      <c r="BA4" s="19">
        <v>12</v>
      </c>
      <c r="BB4" s="19">
        <v>13</v>
      </c>
      <c r="BC4" s="19">
        <v>14</v>
      </c>
      <c r="BD4" s="19">
        <v>15</v>
      </c>
      <c r="BE4" s="19">
        <v>16</v>
      </c>
      <c r="BF4" s="19">
        <v>17</v>
      </c>
      <c r="BG4" s="19">
        <v>18</v>
      </c>
      <c r="BH4" s="19">
        <v>19</v>
      </c>
      <c r="BI4" s="20">
        <v>20</v>
      </c>
      <c r="BJ4" s="21">
        <v>21</v>
      </c>
      <c r="BK4" s="19">
        <v>22</v>
      </c>
      <c r="BL4" s="19">
        <v>23</v>
      </c>
      <c r="BM4" s="19">
        <v>24</v>
      </c>
      <c r="BN4" s="19">
        <v>25</v>
      </c>
      <c r="BO4" s="20">
        <v>26</v>
      </c>
    </row>
    <row r="5" spans="1:67" ht="27.75" thickTop="1" thickBot="1" x14ac:dyDescent="0.45">
      <c r="A5" s="196" t="s">
        <v>91</v>
      </c>
      <c r="B5" s="197"/>
      <c r="D5" s="77" t="s">
        <v>4</v>
      </c>
      <c r="G5" s="76"/>
      <c r="O5" s="77" t="s">
        <v>4</v>
      </c>
    </row>
    <row r="6" spans="1:67" ht="21.75" thickTop="1" x14ac:dyDescent="0.35">
      <c r="A6" s="198" t="s">
        <v>39</v>
      </c>
      <c r="B6" s="198"/>
      <c r="C6" s="78"/>
      <c r="D6" s="204" t="s">
        <v>160</v>
      </c>
      <c r="E6" s="205"/>
      <c r="F6" s="206"/>
      <c r="G6" s="162"/>
      <c r="H6" s="201" t="s">
        <v>161</v>
      </c>
      <c r="I6" s="202"/>
      <c r="J6" s="202"/>
      <c r="K6" s="202"/>
      <c r="L6" s="202"/>
      <c r="M6" s="202"/>
      <c r="N6" s="202"/>
      <c r="O6" s="202"/>
      <c r="P6" s="202"/>
      <c r="Q6" s="202"/>
      <c r="R6" s="202"/>
      <c r="S6" s="202"/>
      <c r="T6" s="202"/>
      <c r="U6" s="202"/>
      <c r="V6" s="202"/>
      <c r="W6" s="202"/>
      <c r="X6" s="202"/>
      <c r="Y6" s="202"/>
      <c r="Z6" s="202"/>
      <c r="AA6" s="202"/>
      <c r="AB6"/>
      <c r="AC6" s="216" t="s">
        <v>38</v>
      </c>
      <c r="AD6" s="216"/>
      <c r="AE6" s="216"/>
      <c r="AF6" s="216"/>
      <c r="AG6" s="216"/>
      <c r="AH6" s="216"/>
      <c r="AI6" s="140"/>
      <c r="AJ6" s="66"/>
    </row>
    <row r="7" spans="1:67" s="79" customFormat="1" ht="114" customHeight="1" thickBot="1" x14ac:dyDescent="0.4">
      <c r="A7" s="120" t="s">
        <v>122</v>
      </c>
      <c r="B7" s="120" t="str">
        <f>CONCATENATE("MPE
(mg) 
",A5," for this exercise")</f>
        <v>MPE
(mg) 
ASTM 3 for this exercise</v>
      </c>
      <c r="C7" s="121"/>
      <c r="D7" s="122" t="s">
        <v>123</v>
      </c>
      <c r="E7" s="122" t="s">
        <v>124</v>
      </c>
      <c r="F7" s="163" t="s">
        <v>158</v>
      </c>
      <c r="H7" s="120" t="s">
        <v>102</v>
      </c>
      <c r="I7" s="120" t="s">
        <v>33</v>
      </c>
      <c r="J7" s="120" t="s">
        <v>34</v>
      </c>
      <c r="K7" s="120" t="s">
        <v>35</v>
      </c>
      <c r="L7" s="120" t="s">
        <v>114</v>
      </c>
      <c r="M7" s="123" t="s">
        <v>103</v>
      </c>
      <c r="N7" s="123" t="s">
        <v>104</v>
      </c>
      <c r="O7" s="123" t="s">
        <v>105</v>
      </c>
      <c r="P7" s="123" t="s">
        <v>106</v>
      </c>
      <c r="Q7" s="123" t="s">
        <v>107</v>
      </c>
      <c r="R7" s="123" t="s">
        <v>108</v>
      </c>
      <c r="S7" s="123" t="s">
        <v>56</v>
      </c>
      <c r="T7" s="123" t="s">
        <v>113</v>
      </c>
      <c r="U7" s="123" t="s">
        <v>117</v>
      </c>
      <c r="V7" s="123" t="str">
        <f>CONCATENATE("Uncertainty due to u(CCE) of X
(10 % @ 
"&amp;IFERROR(ROUND(AVERAGE(U8:U49),2),"-")&amp;" °C)
(mg)")</f>
        <v>Uncertainty due to u(CCE) of X
(10 % @ 
1.07 °C)
(mg)</v>
      </c>
      <c r="W7" s="123" t="s">
        <v>109</v>
      </c>
      <c r="X7" s="124" t="s">
        <v>51</v>
      </c>
      <c r="Y7" s="123" t="s">
        <v>116</v>
      </c>
      <c r="Z7" s="124" t="s">
        <v>110</v>
      </c>
      <c r="AA7" s="120" t="s">
        <v>125</v>
      </c>
      <c r="AB7" s="125"/>
      <c r="AC7" s="123" t="s">
        <v>37</v>
      </c>
      <c r="AD7" s="126" t="s">
        <v>36</v>
      </c>
      <c r="AE7" s="126" t="s">
        <v>11</v>
      </c>
      <c r="AF7" s="127" t="s">
        <v>102</v>
      </c>
      <c r="AG7" s="127" t="s">
        <v>8</v>
      </c>
      <c r="AH7" s="127" t="str">
        <f>CONCATENATE("Uncertainty due to u(CCE)
(10 % @ "&amp;AI3&amp;" °C)
(mg)")</f>
        <v>Uncertainty due to u(CCE)
(10 % @  °C)
(mg)</v>
      </c>
    </row>
    <row r="8" spans="1:67" s="104" customFormat="1" ht="17.100000000000001" customHeight="1" thickTop="1" x14ac:dyDescent="0.25">
      <c r="A8" s="96">
        <v>500</v>
      </c>
      <c r="B8" s="168">
        <f>VLOOKUP(Nom_X,'MPE Table'!$C$57:$AC$99,(HLOOKUP($A$5,'MPE Table'!$D$55:$AC$56,2,0)+1),0)</f>
        <v>2300</v>
      </c>
      <c r="C8" s="98"/>
      <c r="D8" s="91">
        <f t="shared" ref="D8:D49" si="0">u_R/(Nom_R)*Nom_X</f>
        <v>159.27378931187502</v>
      </c>
      <c r="E8" s="97">
        <v>91.756</v>
      </c>
      <c r="F8" s="99">
        <f t="shared" ref="F8:F49" si="1">SQRT(SUMSQ(Prop_Type_B_R,Type_A_of_series))</f>
        <v>183.81322993126352</v>
      </c>
      <c r="H8" s="100">
        <f t="shared" ref="H8:H49" si="2">((((Nom_X*453.59237)*(8-Assumed_Rho_X)/(8*Assumed_Rho_X)*SQRT((0.00001*(RhoA_X*0.001)*u_BP_X/760*101325)^2+(0.000022*(RhoA_X*0.001))^2+(-0.004*(RhoA_X*0.001)*u_t_X)^2+(-0.009*u_RH_X/100*(RhoA_X*0.001))^2))^2)+((Nom_X*453.59237*((RhoA_X*0.001)-0.0012))^2*(u_Rho_X^2/Assumed_Rho_X^4))+(Nom_X*453.59237*((1.2*0.001)-0.0012))-2*(0.0012-0.0012)*(u_Rho_R^2/8^4))*1000000</f>
        <v>0</v>
      </c>
      <c r="I8" s="97">
        <v>999.6</v>
      </c>
      <c r="J8" s="97">
        <v>1001.4</v>
      </c>
      <c r="K8" s="97">
        <v>996.4</v>
      </c>
      <c r="L8" s="100">
        <f t="shared" ref="L8:L49" si="3">IF(B8="-","-",MAX(ABS(J8-I8)/10^(ROUND(LOG(I8),1)),ABS(K8-I8)/10^(ROUND(LOG(I8),1)))*B8/SQRT(3))</f>
        <v>4.2492979812357063</v>
      </c>
      <c r="M8" s="97">
        <v>8</v>
      </c>
      <c r="N8" s="97">
        <v>2.5000000000000001E-2</v>
      </c>
      <c r="O8" s="97">
        <v>0.2</v>
      </c>
      <c r="P8" s="97">
        <v>1</v>
      </c>
      <c r="Q8" s="97">
        <v>0.11</v>
      </c>
      <c r="R8" s="97">
        <v>1.2</v>
      </c>
      <c r="S8" s="101">
        <v>0</v>
      </c>
      <c r="T8" s="168">
        <f t="shared" ref="T8:T49" si="4">IF(AND(2.6&lt;Assumed_Rho_X,Assumed_Rho_X&lt;2.8),0.000069,IF(AND(8.3&lt;Assumed_Rho_X,Assumed_Rho_X&lt;8.6),0.000039,IF(AND(7.8&lt;Assumed_Rho_X,Assumed_Rho_X&lt;8.05),0.000045,IF(AND(16.5&lt;Assumed_Rho_X,Assumed_Rho_X&lt;16.8),0.00002,"-"))))</f>
        <v>4.5000000000000003E-5</v>
      </c>
      <c r="U8" s="97">
        <v>1.07</v>
      </c>
      <c r="V8" s="101">
        <f t="shared" ref="V8:V49" si="5">IFERROR(ABS(RhoA_X*(Nom_X*453.59237/Assumed_Rho_X)*Max_d_t_X*0.1*CCE_X)/SQRT(3),"-")</f>
        <v>9.4572020578406815E-2</v>
      </c>
      <c r="W8" s="101">
        <f t="shared" ref="W8:W49" si="6">IF(OR(Type_A_of_series="",Type_A_of_series="-"),"-",IF(MPE_X="-","-",SQRT(SUMSQ(u_Series1_X,u_Sens_X,u_Max_d_t_X)+u²_ABC_X)))</f>
        <v>183.86236421563814</v>
      </c>
      <c r="X8" s="102">
        <v>2</v>
      </c>
      <c r="Y8" s="101" t="str">
        <f t="shared" ref="Y8:Y49" si="7">IFERROR(IF(MPE_X="-","-",FIXED(k_X*uc_X,2-1-INT(LOG10(ABS(2*uc_X))))),"-")</f>
        <v>370</v>
      </c>
      <c r="Z8" s="131">
        <f t="shared" ref="Z8:Z49" si="8">IF(OR(MPE_X="-",Y8="-"),"-",3*Uk_X/MPE_X)</f>
        <v>0.4826086956521739</v>
      </c>
      <c r="AA8" s="96">
        <f t="shared" ref="AA8:AA49" si="9">A8</f>
        <v>500</v>
      </c>
      <c r="AB8" s="103"/>
      <c r="AC8" s="113">
        <f t="shared" ref="AC8:AC49" si="10">SUM(AD8:AH8)</f>
        <v>0.99999999999999978</v>
      </c>
      <c r="AD8" s="113">
        <f t="shared" ref="AD8:AD49" si="11">D8^2/$W8^2</f>
        <v>0.75041748488386639</v>
      </c>
      <c r="AE8" s="113">
        <f t="shared" ref="AE8:AE49" si="12">E8^2/$W8^2</f>
        <v>0.24904811842861929</v>
      </c>
      <c r="AF8" s="113">
        <f t="shared" ref="AF8:AF49" si="13">H8/$W8^2</f>
        <v>0</v>
      </c>
      <c r="AG8" s="113">
        <f t="shared" ref="AG8:AG49" si="14">L8^2/$W8^2</f>
        <v>5.3413211808770356E-4</v>
      </c>
      <c r="AH8" s="113">
        <f t="shared" ref="AH8:AH49" si="15">V8^2/$W8^2</f>
        <v>2.6456942632119677E-7</v>
      </c>
    </row>
    <row r="9" spans="1:67" ht="17.100000000000001" customHeight="1" x14ac:dyDescent="0.25">
      <c r="A9" s="88">
        <v>50</v>
      </c>
      <c r="B9" s="169">
        <f>VLOOKUP(Nom_X,'MPE Table'!$C$57:$AC$99,(HLOOKUP($A$5,'MPE Table'!$D$55:$AC$56,2,0)+1),0)</f>
        <v>230</v>
      </c>
      <c r="C9" s="90"/>
      <c r="D9" s="83">
        <f t="shared" si="0"/>
        <v>15.927378931187503</v>
      </c>
      <c r="E9" s="89"/>
      <c r="F9" s="92">
        <f t="shared" si="1"/>
        <v>15.927378931187503</v>
      </c>
      <c r="H9" s="93">
        <f t="shared" si="2"/>
        <v>0</v>
      </c>
      <c r="I9" s="89">
        <v>1</v>
      </c>
      <c r="J9" s="89">
        <v>1</v>
      </c>
      <c r="K9" s="89">
        <v>1</v>
      </c>
      <c r="L9" s="93">
        <f t="shared" si="3"/>
        <v>0</v>
      </c>
      <c r="M9" s="89">
        <v>8</v>
      </c>
      <c r="N9" s="89">
        <v>7.0000000000000007E-2</v>
      </c>
      <c r="O9" s="89">
        <v>0.2</v>
      </c>
      <c r="P9" s="89">
        <v>1</v>
      </c>
      <c r="Q9" s="89">
        <v>0.11</v>
      </c>
      <c r="R9" s="89">
        <v>1.2</v>
      </c>
      <c r="S9" s="94">
        <v>0</v>
      </c>
      <c r="T9" s="169">
        <f t="shared" si="4"/>
        <v>4.5000000000000003E-5</v>
      </c>
      <c r="U9" s="89"/>
      <c r="V9" s="94">
        <f t="shared" si="5"/>
        <v>0</v>
      </c>
      <c r="W9" s="94" t="str">
        <f t="shared" si="6"/>
        <v>-</v>
      </c>
      <c r="X9" s="95">
        <v>2</v>
      </c>
      <c r="Y9" s="94" t="str">
        <f t="shared" si="7"/>
        <v>-</v>
      </c>
      <c r="Z9" s="130" t="str">
        <f t="shared" si="8"/>
        <v>-</v>
      </c>
      <c r="AA9" s="88">
        <f t="shared" si="9"/>
        <v>50</v>
      </c>
      <c r="AC9" s="112" t="e">
        <f t="shared" si="10"/>
        <v>#VALUE!</v>
      </c>
      <c r="AD9" s="112" t="e">
        <f t="shared" si="11"/>
        <v>#VALUE!</v>
      </c>
      <c r="AE9" s="112" t="e">
        <f t="shared" si="12"/>
        <v>#VALUE!</v>
      </c>
      <c r="AF9" s="112" t="e">
        <f t="shared" si="13"/>
        <v>#VALUE!</v>
      </c>
      <c r="AG9" s="112" t="e">
        <f t="shared" si="14"/>
        <v>#VALUE!</v>
      </c>
      <c r="AH9" s="112" t="e">
        <f t="shared" si="15"/>
        <v>#VALUE!</v>
      </c>
      <c r="AI9" s="66"/>
      <c r="AJ9" s="66"/>
    </row>
    <row r="10" spans="1:67" ht="17.100000000000001" customHeight="1" x14ac:dyDescent="0.25">
      <c r="A10" s="88">
        <v>30</v>
      </c>
      <c r="B10" s="169">
        <f>VLOOKUP(Nom_X,'MPE Table'!$C$57:$AC$99,(HLOOKUP($A$5,'MPE Table'!$D$55:$AC$56,2,0)+1),0)</f>
        <v>140</v>
      </c>
      <c r="C10" s="90"/>
      <c r="D10" s="91">
        <f t="shared" si="0"/>
        <v>9.5564273587125008</v>
      </c>
      <c r="E10" s="89"/>
      <c r="F10" s="92">
        <f t="shared" si="1"/>
        <v>9.5564273587125008</v>
      </c>
      <c r="H10" s="93">
        <f t="shared" si="2"/>
        <v>0</v>
      </c>
      <c r="I10" s="89">
        <v>1</v>
      </c>
      <c r="J10" s="89">
        <v>1</v>
      </c>
      <c r="K10" s="89">
        <v>1</v>
      </c>
      <c r="L10" s="93">
        <f t="shared" si="3"/>
        <v>0</v>
      </c>
      <c r="M10" s="89">
        <v>8</v>
      </c>
      <c r="N10" s="89">
        <v>7.0000000000000007E-2</v>
      </c>
      <c r="O10" s="89">
        <v>0.2</v>
      </c>
      <c r="P10" s="89">
        <v>1</v>
      </c>
      <c r="Q10" s="89">
        <v>0.11</v>
      </c>
      <c r="R10" s="89">
        <v>1.2</v>
      </c>
      <c r="S10" s="94">
        <v>0</v>
      </c>
      <c r="T10" s="169">
        <f t="shared" si="4"/>
        <v>4.5000000000000003E-5</v>
      </c>
      <c r="U10" s="89"/>
      <c r="V10" s="94">
        <f t="shared" si="5"/>
        <v>0</v>
      </c>
      <c r="W10" s="94" t="str">
        <f t="shared" si="6"/>
        <v>-</v>
      </c>
      <c r="X10" s="95">
        <v>2</v>
      </c>
      <c r="Y10" s="94" t="str">
        <f t="shared" si="7"/>
        <v>-</v>
      </c>
      <c r="Z10" s="130" t="str">
        <f t="shared" si="8"/>
        <v>-</v>
      </c>
      <c r="AA10" s="88">
        <f t="shared" si="9"/>
        <v>30</v>
      </c>
      <c r="AC10" s="112" t="e">
        <f t="shared" si="10"/>
        <v>#VALUE!</v>
      </c>
      <c r="AD10" s="112" t="e">
        <f t="shared" si="11"/>
        <v>#VALUE!</v>
      </c>
      <c r="AE10" s="112" t="e">
        <f t="shared" si="12"/>
        <v>#VALUE!</v>
      </c>
      <c r="AF10" s="112" t="e">
        <f t="shared" si="13"/>
        <v>#VALUE!</v>
      </c>
      <c r="AG10" s="112" t="e">
        <f t="shared" si="14"/>
        <v>#VALUE!</v>
      </c>
      <c r="AH10" s="112" t="e">
        <f t="shared" si="15"/>
        <v>#VALUE!</v>
      </c>
      <c r="AI10" s="66"/>
      <c r="AJ10" s="66"/>
    </row>
    <row r="11" spans="1:67" ht="17.100000000000001" customHeight="1" x14ac:dyDescent="0.25">
      <c r="A11" s="88">
        <v>20</v>
      </c>
      <c r="B11" s="169">
        <f>VLOOKUP(Nom_X,'MPE Table'!$C$57:$AC$99,(HLOOKUP($A$5,'MPE Table'!$D$55:$AC$56,2,0)+1),0)</f>
        <v>91</v>
      </c>
      <c r="C11" s="90"/>
      <c r="D11" s="91">
        <f t="shared" si="0"/>
        <v>6.3709515724750005</v>
      </c>
      <c r="E11" s="89"/>
      <c r="F11" s="92">
        <f t="shared" si="1"/>
        <v>6.3709515724750005</v>
      </c>
      <c r="H11" s="93">
        <f t="shared" si="2"/>
        <v>0</v>
      </c>
      <c r="I11" s="89">
        <v>1</v>
      </c>
      <c r="J11" s="89">
        <v>1</v>
      </c>
      <c r="K11" s="89">
        <v>1</v>
      </c>
      <c r="L11" s="93">
        <f t="shared" si="3"/>
        <v>0</v>
      </c>
      <c r="M11" s="89">
        <v>8</v>
      </c>
      <c r="N11" s="89">
        <v>7.0000000000000007E-2</v>
      </c>
      <c r="O11" s="89">
        <v>0.2</v>
      </c>
      <c r="P11" s="89">
        <v>1</v>
      </c>
      <c r="Q11" s="89">
        <v>0.11</v>
      </c>
      <c r="R11" s="89">
        <v>1.2</v>
      </c>
      <c r="S11" s="94">
        <v>0</v>
      </c>
      <c r="T11" s="169">
        <f t="shared" si="4"/>
        <v>4.5000000000000003E-5</v>
      </c>
      <c r="U11" s="89"/>
      <c r="V11" s="94">
        <f t="shared" si="5"/>
        <v>0</v>
      </c>
      <c r="W11" s="94" t="str">
        <f t="shared" si="6"/>
        <v>-</v>
      </c>
      <c r="X11" s="95">
        <v>2</v>
      </c>
      <c r="Y11" s="94" t="str">
        <f t="shared" si="7"/>
        <v>-</v>
      </c>
      <c r="Z11" s="130" t="str">
        <f t="shared" si="8"/>
        <v>-</v>
      </c>
      <c r="AA11" s="88">
        <f t="shared" si="9"/>
        <v>20</v>
      </c>
      <c r="AC11" s="112" t="e">
        <f t="shared" si="10"/>
        <v>#VALUE!</v>
      </c>
      <c r="AD11" s="112" t="e">
        <f t="shared" si="11"/>
        <v>#VALUE!</v>
      </c>
      <c r="AE11" s="112" t="e">
        <f t="shared" si="12"/>
        <v>#VALUE!</v>
      </c>
      <c r="AF11" s="112" t="e">
        <f t="shared" si="13"/>
        <v>#VALUE!</v>
      </c>
      <c r="AG11" s="112" t="e">
        <f t="shared" si="14"/>
        <v>#VALUE!</v>
      </c>
      <c r="AH11" s="112" t="e">
        <f t="shared" si="15"/>
        <v>#VALUE!</v>
      </c>
      <c r="AI11" s="66"/>
      <c r="AJ11" s="66"/>
    </row>
    <row r="12" spans="1:67" s="104" customFormat="1" ht="17.100000000000001" customHeight="1" x14ac:dyDescent="0.25">
      <c r="A12" s="105">
        <v>10</v>
      </c>
      <c r="B12" s="168">
        <f>VLOOKUP(Nom_X,'MPE Table'!$C$57:$AC$99,(HLOOKUP($A$5,'MPE Table'!$D$55:$AC$56,2,0)+1),0)</f>
        <v>45</v>
      </c>
      <c r="C12" s="98"/>
      <c r="D12" s="106">
        <f t="shared" si="0"/>
        <v>3.1854757862375003</v>
      </c>
      <c r="E12" s="97"/>
      <c r="F12" s="99">
        <f t="shared" si="1"/>
        <v>3.1854757862375003</v>
      </c>
      <c r="H12" s="100">
        <f t="shared" si="2"/>
        <v>0</v>
      </c>
      <c r="I12" s="97">
        <v>1</v>
      </c>
      <c r="J12" s="97">
        <v>1</v>
      </c>
      <c r="K12" s="97">
        <v>1</v>
      </c>
      <c r="L12" s="100">
        <f t="shared" ref="L12" si="16">IF(B12="-","-",MAX(ABS(J12-I12)/10^(ROUND(LOG(I12),1)),ABS(K12-I12)/10^(ROUND(LOG(I12),1)))*B12/SQRT(3))</f>
        <v>0</v>
      </c>
      <c r="M12" s="97">
        <v>8</v>
      </c>
      <c r="N12" s="97">
        <v>7.0000000000000007E-2</v>
      </c>
      <c r="O12" s="97">
        <v>0.2</v>
      </c>
      <c r="P12" s="97">
        <v>1</v>
      </c>
      <c r="Q12" s="97">
        <v>0.11</v>
      </c>
      <c r="R12" s="97">
        <v>1.2</v>
      </c>
      <c r="S12" s="101">
        <v>0</v>
      </c>
      <c r="T12" s="168">
        <f t="shared" si="4"/>
        <v>4.5000000000000003E-5</v>
      </c>
      <c r="U12" s="97"/>
      <c r="V12" s="101">
        <f t="shared" si="5"/>
        <v>0</v>
      </c>
      <c r="W12" s="133" t="str">
        <f t="shared" si="6"/>
        <v>-</v>
      </c>
      <c r="X12" s="102">
        <v>2</v>
      </c>
      <c r="Y12" s="101" t="str">
        <f t="shared" si="7"/>
        <v>-</v>
      </c>
      <c r="Z12" s="131" t="str">
        <f t="shared" ref="Z12" si="17">IF(OR(MPE_X="-",Y12="-"),"-",3*Uk_X/MPE_X)</f>
        <v>-</v>
      </c>
      <c r="AA12" s="105">
        <f t="shared" ref="AA12" si="18">A12</f>
        <v>10</v>
      </c>
      <c r="AB12" s="103"/>
      <c r="AC12" s="113" t="e">
        <f t="shared" ref="AC12" si="19">SUM(AD12:AH12)</f>
        <v>#VALUE!</v>
      </c>
      <c r="AD12" s="113" t="e">
        <f t="shared" ref="AD12" si="20">D12^2/$W12^2</f>
        <v>#VALUE!</v>
      </c>
      <c r="AE12" s="113" t="e">
        <f t="shared" ref="AE12" si="21">E12^2/$W12^2</f>
        <v>#VALUE!</v>
      </c>
      <c r="AF12" s="113" t="e">
        <f t="shared" ref="AF12" si="22">H12/$W12^2</f>
        <v>#VALUE!</v>
      </c>
      <c r="AG12" s="113" t="e">
        <f t="shared" ref="AG12" si="23">L12^2/$W12^2</f>
        <v>#VALUE!</v>
      </c>
      <c r="AH12" s="113" t="e">
        <f t="shared" ref="AH12" si="24">V12^2/$W12^2</f>
        <v>#VALUE!</v>
      </c>
    </row>
    <row r="13" spans="1:67" ht="17.100000000000001" customHeight="1" x14ac:dyDescent="0.25">
      <c r="A13" s="183">
        <v>10</v>
      </c>
      <c r="B13" s="184">
        <f>VLOOKUP(Nom_X,'MPE Table'!$C$57:$AC$99,(HLOOKUP($A$5,'MPE Table'!$D$55:$AC$56,2,0)+1),0)</f>
        <v>45</v>
      </c>
      <c r="C13" s="98"/>
      <c r="D13" s="185">
        <f t="shared" si="0"/>
        <v>3.1854757862375003</v>
      </c>
      <c r="E13" s="97"/>
      <c r="F13" s="185">
        <f t="shared" si="1"/>
        <v>3.1854757862375003</v>
      </c>
      <c r="G13" s="187"/>
      <c r="H13" s="184">
        <f t="shared" si="2"/>
        <v>0</v>
      </c>
      <c r="I13" s="97">
        <v>1</v>
      </c>
      <c r="J13" s="97">
        <v>1</v>
      </c>
      <c r="K13" s="97">
        <v>1</v>
      </c>
      <c r="L13" s="184">
        <f t="shared" si="3"/>
        <v>0</v>
      </c>
      <c r="M13" s="97">
        <v>8</v>
      </c>
      <c r="N13" s="97">
        <v>7.0000000000000007E-2</v>
      </c>
      <c r="O13" s="97">
        <v>0.2</v>
      </c>
      <c r="P13" s="97">
        <v>1</v>
      </c>
      <c r="Q13" s="97">
        <v>0.11</v>
      </c>
      <c r="R13" s="97">
        <v>1.2</v>
      </c>
      <c r="S13" s="184">
        <v>0</v>
      </c>
      <c r="T13" s="184">
        <f t="shared" si="4"/>
        <v>4.5000000000000003E-5</v>
      </c>
      <c r="U13" s="97"/>
      <c r="V13" s="184">
        <f t="shared" si="5"/>
        <v>0</v>
      </c>
      <c r="W13" s="184" t="str">
        <f t="shared" si="6"/>
        <v>-</v>
      </c>
      <c r="X13" s="102">
        <v>2</v>
      </c>
      <c r="Y13" s="184" t="str">
        <f t="shared" si="7"/>
        <v>-</v>
      </c>
      <c r="Z13" s="131" t="str">
        <f t="shared" si="8"/>
        <v>-</v>
      </c>
      <c r="AA13" s="186">
        <f t="shared" si="9"/>
        <v>10</v>
      </c>
      <c r="AB13" s="140"/>
      <c r="AC13" s="112" t="e">
        <f t="shared" si="10"/>
        <v>#VALUE!</v>
      </c>
      <c r="AD13" s="112" t="e">
        <f t="shared" si="11"/>
        <v>#VALUE!</v>
      </c>
      <c r="AE13" s="112" t="e">
        <f t="shared" si="12"/>
        <v>#VALUE!</v>
      </c>
      <c r="AF13" s="112" t="e">
        <f t="shared" si="13"/>
        <v>#VALUE!</v>
      </c>
      <c r="AG13" s="112" t="e">
        <f t="shared" si="14"/>
        <v>#VALUE!</v>
      </c>
      <c r="AH13" s="112" t="e">
        <f t="shared" si="15"/>
        <v>#VALUE!</v>
      </c>
      <c r="AI13" s="66"/>
      <c r="AJ13" s="66"/>
    </row>
    <row r="14" spans="1:67" ht="17.100000000000001" customHeight="1" x14ac:dyDescent="0.25">
      <c r="A14" s="107">
        <v>5</v>
      </c>
      <c r="B14" s="169">
        <f>VLOOKUP(Nom_X,'MPE Table'!$C$57:$AC$99,(HLOOKUP($A$5,'MPE Table'!$D$55:$AC$56,2,0)+1),0)</f>
        <v>23</v>
      </c>
      <c r="C14" s="90"/>
      <c r="D14" s="91">
        <f t="shared" si="0"/>
        <v>1.5927378931187501</v>
      </c>
      <c r="E14" s="89"/>
      <c r="F14" s="92">
        <f t="shared" si="1"/>
        <v>1.5927378931187501</v>
      </c>
      <c r="H14" s="93">
        <f t="shared" si="2"/>
        <v>0</v>
      </c>
      <c r="I14" s="89">
        <v>1</v>
      </c>
      <c r="J14" s="89">
        <v>1</v>
      </c>
      <c r="K14" s="89">
        <v>1</v>
      </c>
      <c r="L14" s="93">
        <f t="shared" si="3"/>
        <v>0</v>
      </c>
      <c r="M14" s="89">
        <v>8</v>
      </c>
      <c r="N14" s="89">
        <v>7.0000000000000007E-2</v>
      </c>
      <c r="O14" s="89">
        <v>0.2</v>
      </c>
      <c r="P14" s="89">
        <v>1</v>
      </c>
      <c r="Q14" s="89">
        <v>0.11</v>
      </c>
      <c r="R14" s="89">
        <v>1.2</v>
      </c>
      <c r="S14" s="94">
        <v>0</v>
      </c>
      <c r="T14" s="169">
        <f t="shared" si="4"/>
        <v>4.5000000000000003E-5</v>
      </c>
      <c r="U14" s="89"/>
      <c r="V14" s="94">
        <f t="shared" si="5"/>
        <v>0</v>
      </c>
      <c r="W14" s="94" t="str">
        <f t="shared" si="6"/>
        <v>-</v>
      </c>
      <c r="X14" s="95">
        <v>2</v>
      </c>
      <c r="Y14" s="94" t="str">
        <f t="shared" si="7"/>
        <v>-</v>
      </c>
      <c r="Z14" s="130" t="str">
        <f t="shared" si="8"/>
        <v>-</v>
      </c>
      <c r="AA14" s="107">
        <f t="shared" si="9"/>
        <v>5</v>
      </c>
      <c r="AC14" s="112" t="e">
        <f t="shared" si="10"/>
        <v>#VALUE!</v>
      </c>
      <c r="AD14" s="112" t="e">
        <f t="shared" si="11"/>
        <v>#VALUE!</v>
      </c>
      <c r="AE14" s="112" t="e">
        <f t="shared" si="12"/>
        <v>#VALUE!</v>
      </c>
      <c r="AF14" s="112" t="e">
        <f t="shared" si="13"/>
        <v>#VALUE!</v>
      </c>
      <c r="AG14" s="112" t="e">
        <f t="shared" si="14"/>
        <v>#VALUE!</v>
      </c>
      <c r="AH14" s="112" t="e">
        <f t="shared" si="15"/>
        <v>#VALUE!</v>
      </c>
      <c r="AI14" s="66"/>
      <c r="AJ14" s="66"/>
    </row>
    <row r="15" spans="1:67" ht="17.100000000000001" customHeight="1" x14ac:dyDescent="0.25">
      <c r="A15" s="107">
        <v>3</v>
      </c>
      <c r="B15" s="169">
        <f>VLOOKUP(Nom_X,'MPE Table'!$C$57:$AC$99,(HLOOKUP($A$5,'MPE Table'!$D$55:$AC$56,2,0)+1),0)</f>
        <v>14</v>
      </c>
      <c r="C15" s="90"/>
      <c r="D15" s="91">
        <f t="shared" si="0"/>
        <v>0.95564273587125015</v>
      </c>
      <c r="E15" s="89"/>
      <c r="F15" s="92">
        <f t="shared" si="1"/>
        <v>0.95564273587125015</v>
      </c>
      <c r="H15" s="93">
        <f t="shared" si="2"/>
        <v>0</v>
      </c>
      <c r="I15" s="89">
        <v>1</v>
      </c>
      <c r="J15" s="89">
        <v>1</v>
      </c>
      <c r="K15" s="89">
        <v>1</v>
      </c>
      <c r="L15" s="93">
        <f t="shared" ref="L15" si="25">IF(B15="-","-",MAX(ABS(J15-I15)/10^(ROUND(LOG(I15),1)),ABS(K15-I15)/10^(ROUND(LOG(I15),1)))*B15/SQRT(3))</f>
        <v>0</v>
      </c>
      <c r="M15" s="89">
        <v>8</v>
      </c>
      <c r="N15" s="89">
        <v>7.0000000000000007E-2</v>
      </c>
      <c r="O15" s="89">
        <v>0.2</v>
      </c>
      <c r="P15" s="89">
        <v>1</v>
      </c>
      <c r="Q15" s="89">
        <v>0.11</v>
      </c>
      <c r="R15" s="89">
        <v>1.2</v>
      </c>
      <c r="S15" s="94">
        <v>0</v>
      </c>
      <c r="T15" s="169">
        <f t="shared" si="4"/>
        <v>4.5000000000000003E-5</v>
      </c>
      <c r="U15" s="89"/>
      <c r="V15" s="94">
        <f t="shared" si="5"/>
        <v>0</v>
      </c>
      <c r="W15" s="94" t="str">
        <f t="shared" si="6"/>
        <v>-</v>
      </c>
      <c r="X15" s="95">
        <v>2</v>
      </c>
      <c r="Y15" s="94" t="str">
        <f t="shared" si="7"/>
        <v>-</v>
      </c>
      <c r="Z15" s="130" t="str">
        <f t="shared" ref="Z15" si="26">IF(OR(MPE_X="-",Y15="-"),"-",3*Uk_X/MPE_X)</f>
        <v>-</v>
      </c>
      <c r="AA15" s="107">
        <f t="shared" ref="AA15" si="27">A15</f>
        <v>3</v>
      </c>
      <c r="AB15" s="140"/>
      <c r="AC15" s="112" t="e">
        <f t="shared" ref="AC15" si="28">SUM(AD15:AH15)</f>
        <v>#VALUE!</v>
      </c>
      <c r="AD15" s="112" t="e">
        <f t="shared" ref="AD15" si="29">D15^2/$W15^2</f>
        <v>#VALUE!</v>
      </c>
      <c r="AE15" s="112" t="e">
        <f t="shared" ref="AE15" si="30">E15^2/$W15^2</f>
        <v>#VALUE!</v>
      </c>
      <c r="AF15" s="112" t="e">
        <f t="shared" ref="AF15" si="31">H15/$W15^2</f>
        <v>#VALUE!</v>
      </c>
      <c r="AG15" s="112" t="e">
        <f t="shared" ref="AG15" si="32">L15^2/$W15^2</f>
        <v>#VALUE!</v>
      </c>
      <c r="AH15" s="112" t="e">
        <f t="shared" ref="AH15" si="33">V15^2/$W15^2</f>
        <v>#VALUE!</v>
      </c>
      <c r="AI15" s="66"/>
      <c r="AJ15" s="66"/>
    </row>
    <row r="16" spans="1:67" ht="17.100000000000001" customHeight="1" x14ac:dyDescent="0.25">
      <c r="A16" s="107">
        <v>3</v>
      </c>
      <c r="B16" s="169">
        <f>VLOOKUP(Nom_X,'MPE Table'!$C$57:$AC$99,(HLOOKUP($A$5,'MPE Table'!$D$55:$AC$56,2,0)+1),0)</f>
        <v>14</v>
      </c>
      <c r="C16" s="90"/>
      <c r="D16" s="91">
        <f t="shared" si="0"/>
        <v>0.95564273587125015</v>
      </c>
      <c r="E16" s="89"/>
      <c r="F16" s="92">
        <f t="shared" si="1"/>
        <v>0.95564273587125015</v>
      </c>
      <c r="H16" s="93">
        <f t="shared" si="2"/>
        <v>0</v>
      </c>
      <c r="I16" s="89">
        <v>1</v>
      </c>
      <c r="J16" s="89">
        <v>1</v>
      </c>
      <c r="K16" s="89">
        <v>1</v>
      </c>
      <c r="L16" s="93">
        <f t="shared" si="3"/>
        <v>0</v>
      </c>
      <c r="M16" s="89">
        <v>8</v>
      </c>
      <c r="N16" s="89">
        <v>7.0000000000000007E-2</v>
      </c>
      <c r="O16" s="89">
        <v>0.2</v>
      </c>
      <c r="P16" s="89">
        <v>1</v>
      </c>
      <c r="Q16" s="89">
        <v>0.11</v>
      </c>
      <c r="R16" s="89">
        <v>1.2</v>
      </c>
      <c r="S16" s="94">
        <v>0</v>
      </c>
      <c r="T16" s="169">
        <f t="shared" si="4"/>
        <v>4.5000000000000003E-5</v>
      </c>
      <c r="U16" s="89"/>
      <c r="V16" s="94">
        <f t="shared" si="5"/>
        <v>0</v>
      </c>
      <c r="W16" s="94" t="str">
        <f t="shared" si="6"/>
        <v>-</v>
      </c>
      <c r="X16" s="95">
        <v>2</v>
      </c>
      <c r="Y16" s="94" t="str">
        <f t="shared" si="7"/>
        <v>-</v>
      </c>
      <c r="Z16" s="130" t="str">
        <f t="shared" si="8"/>
        <v>-</v>
      </c>
      <c r="AA16" s="107">
        <f t="shared" si="9"/>
        <v>3</v>
      </c>
      <c r="AC16" s="112" t="e">
        <f t="shared" si="10"/>
        <v>#VALUE!</v>
      </c>
      <c r="AD16" s="112" t="e">
        <f t="shared" si="11"/>
        <v>#VALUE!</v>
      </c>
      <c r="AE16" s="112" t="e">
        <f t="shared" si="12"/>
        <v>#VALUE!</v>
      </c>
      <c r="AF16" s="112" t="e">
        <f t="shared" si="13"/>
        <v>#VALUE!</v>
      </c>
      <c r="AG16" s="112" t="e">
        <f t="shared" si="14"/>
        <v>#VALUE!</v>
      </c>
      <c r="AH16" s="112" t="e">
        <f t="shared" si="15"/>
        <v>#VALUE!</v>
      </c>
      <c r="AI16" s="66"/>
      <c r="AJ16" s="66"/>
    </row>
    <row r="17" spans="1:36" ht="17.100000000000001" customHeight="1" x14ac:dyDescent="0.25">
      <c r="A17" s="107">
        <v>2</v>
      </c>
      <c r="B17" s="169">
        <f>VLOOKUP(Nom_X,'MPE Table'!$C$57:$AC$99,(HLOOKUP($A$5,'MPE Table'!$D$55:$AC$56,2,0)+1),0)</f>
        <v>9.1</v>
      </c>
      <c r="C17" s="90"/>
      <c r="D17" s="91">
        <f t="shared" si="0"/>
        <v>0.6370951572475001</v>
      </c>
      <c r="E17" s="89"/>
      <c r="F17" s="92">
        <f t="shared" si="1"/>
        <v>0.6370951572475001</v>
      </c>
      <c r="H17" s="93">
        <f t="shared" si="2"/>
        <v>0</v>
      </c>
      <c r="I17" s="89">
        <v>1</v>
      </c>
      <c r="J17" s="89">
        <v>1</v>
      </c>
      <c r="K17" s="89">
        <v>1</v>
      </c>
      <c r="L17" s="93">
        <f t="shared" si="3"/>
        <v>0</v>
      </c>
      <c r="M17" s="89">
        <v>8</v>
      </c>
      <c r="N17" s="89">
        <v>7.0000000000000007E-2</v>
      </c>
      <c r="O17" s="89">
        <v>0.2</v>
      </c>
      <c r="P17" s="89">
        <v>1</v>
      </c>
      <c r="Q17" s="89">
        <v>0.11</v>
      </c>
      <c r="R17" s="89">
        <v>1.2</v>
      </c>
      <c r="S17" s="94">
        <v>0</v>
      </c>
      <c r="T17" s="169">
        <f t="shared" si="4"/>
        <v>4.5000000000000003E-5</v>
      </c>
      <c r="U17" s="89"/>
      <c r="V17" s="94">
        <f t="shared" si="5"/>
        <v>0</v>
      </c>
      <c r="W17" s="94" t="str">
        <f t="shared" si="6"/>
        <v>-</v>
      </c>
      <c r="X17" s="95">
        <v>2</v>
      </c>
      <c r="Y17" s="94" t="str">
        <f t="shared" si="7"/>
        <v>-</v>
      </c>
      <c r="Z17" s="130" t="str">
        <f t="shared" si="8"/>
        <v>-</v>
      </c>
      <c r="AA17" s="107">
        <f t="shared" si="9"/>
        <v>2</v>
      </c>
      <c r="AC17" s="112" t="e">
        <f t="shared" si="10"/>
        <v>#VALUE!</v>
      </c>
      <c r="AD17" s="112" t="e">
        <f t="shared" si="11"/>
        <v>#VALUE!</v>
      </c>
      <c r="AE17" s="112" t="e">
        <f t="shared" si="12"/>
        <v>#VALUE!</v>
      </c>
      <c r="AF17" s="112" t="e">
        <f t="shared" si="13"/>
        <v>#VALUE!</v>
      </c>
      <c r="AG17" s="112" t="e">
        <f t="shared" si="14"/>
        <v>#VALUE!</v>
      </c>
      <c r="AH17" s="112" t="e">
        <f t="shared" si="15"/>
        <v>#VALUE!</v>
      </c>
      <c r="AI17" s="66"/>
      <c r="AJ17" s="66"/>
    </row>
    <row r="18" spans="1:36" s="104" customFormat="1" ht="17.100000000000001" customHeight="1" x14ac:dyDescent="0.25">
      <c r="A18" s="108">
        <v>1</v>
      </c>
      <c r="B18" s="168">
        <f>VLOOKUP(Nom_X,'MPE Table'!$C$57:$AC$99,(HLOOKUP($A$5,'MPE Table'!$D$55:$AC$56,2,0)+1),0)</f>
        <v>4.5</v>
      </c>
      <c r="C18" s="98"/>
      <c r="D18" s="106">
        <f t="shared" si="0"/>
        <v>0.31854757862375005</v>
      </c>
      <c r="E18" s="97"/>
      <c r="F18" s="99">
        <f t="shared" si="1"/>
        <v>0.31854757862375005</v>
      </c>
      <c r="H18" s="100">
        <f t="shared" si="2"/>
        <v>0</v>
      </c>
      <c r="I18" s="97">
        <v>1</v>
      </c>
      <c r="J18" s="97">
        <v>1</v>
      </c>
      <c r="K18" s="97">
        <v>1</v>
      </c>
      <c r="L18" s="100">
        <f t="shared" ref="L18" si="34">IF(B18="-","-",MAX(ABS(J18-I18)/10^(ROUND(LOG(I18),1)),ABS(K18-I18)/10^(ROUND(LOG(I18),1)))*B18/SQRT(3))</f>
        <v>0</v>
      </c>
      <c r="M18" s="97">
        <v>8</v>
      </c>
      <c r="N18" s="97">
        <v>7.0000000000000007E-2</v>
      </c>
      <c r="O18" s="97">
        <v>0.2</v>
      </c>
      <c r="P18" s="97">
        <v>1</v>
      </c>
      <c r="Q18" s="97">
        <v>0.11</v>
      </c>
      <c r="R18" s="97">
        <v>1.2</v>
      </c>
      <c r="S18" s="101">
        <v>0</v>
      </c>
      <c r="T18" s="168">
        <f t="shared" si="4"/>
        <v>4.5000000000000003E-5</v>
      </c>
      <c r="U18" s="97"/>
      <c r="V18" s="101">
        <f t="shared" si="5"/>
        <v>0</v>
      </c>
      <c r="W18" s="133" t="str">
        <f t="shared" si="6"/>
        <v>-</v>
      </c>
      <c r="X18" s="102">
        <v>2</v>
      </c>
      <c r="Y18" s="101" t="str">
        <f t="shared" si="7"/>
        <v>-</v>
      </c>
      <c r="Z18" s="131" t="str">
        <f t="shared" ref="Z18" si="35">IF(OR(MPE_X="-",Y18="-"),"-",3*Uk_X/MPE_X)</f>
        <v>-</v>
      </c>
      <c r="AA18" s="108">
        <f t="shared" ref="AA18" si="36">A18</f>
        <v>1</v>
      </c>
      <c r="AB18" s="103"/>
      <c r="AC18" s="113" t="e">
        <f t="shared" ref="AC18" si="37">SUM(AD18:AH18)</f>
        <v>#VALUE!</v>
      </c>
      <c r="AD18" s="113" t="e">
        <f t="shared" ref="AD18" si="38">D18^2/$W18^2</f>
        <v>#VALUE!</v>
      </c>
      <c r="AE18" s="113" t="e">
        <f t="shared" ref="AE18" si="39">E18^2/$W18^2</f>
        <v>#VALUE!</v>
      </c>
      <c r="AF18" s="113" t="e">
        <f t="shared" ref="AF18" si="40">H18/$W18^2</f>
        <v>#VALUE!</v>
      </c>
      <c r="AG18" s="113" t="e">
        <f t="shared" ref="AG18" si="41">L18^2/$W18^2</f>
        <v>#VALUE!</v>
      </c>
      <c r="AH18" s="113" t="e">
        <f t="shared" ref="AH18" si="42">V18^2/$W18^2</f>
        <v>#VALUE!</v>
      </c>
    </row>
    <row r="19" spans="1:36" ht="17.100000000000001" customHeight="1" x14ac:dyDescent="0.25">
      <c r="A19" s="183">
        <v>1</v>
      </c>
      <c r="B19" s="184">
        <f>VLOOKUP(Nom_X,'MPE Table'!$C$57:$AC$99,(HLOOKUP($A$5,'MPE Table'!$D$55:$AC$56,2,0)+1),0)</f>
        <v>4.5</v>
      </c>
      <c r="C19" s="98"/>
      <c r="D19" s="185">
        <f t="shared" si="0"/>
        <v>0.31854757862375005</v>
      </c>
      <c r="E19" s="97"/>
      <c r="F19" s="185">
        <f t="shared" si="1"/>
        <v>0.31854757862375005</v>
      </c>
      <c r="G19" s="187"/>
      <c r="H19" s="184">
        <f t="shared" si="2"/>
        <v>0</v>
      </c>
      <c r="I19" s="97">
        <v>1</v>
      </c>
      <c r="J19" s="97">
        <v>1</v>
      </c>
      <c r="K19" s="97">
        <v>1</v>
      </c>
      <c r="L19" s="184">
        <f t="shared" si="3"/>
        <v>0</v>
      </c>
      <c r="M19" s="97">
        <v>8</v>
      </c>
      <c r="N19" s="97">
        <v>7.0000000000000007E-2</v>
      </c>
      <c r="O19" s="97">
        <v>0.2</v>
      </c>
      <c r="P19" s="97">
        <v>1</v>
      </c>
      <c r="Q19" s="97">
        <v>0.11</v>
      </c>
      <c r="R19" s="97">
        <v>1.2</v>
      </c>
      <c r="S19" s="184">
        <v>0</v>
      </c>
      <c r="T19" s="184">
        <f t="shared" si="4"/>
        <v>4.5000000000000003E-5</v>
      </c>
      <c r="U19" s="97"/>
      <c r="V19" s="184">
        <f t="shared" si="5"/>
        <v>0</v>
      </c>
      <c r="W19" s="184" t="str">
        <f t="shared" si="6"/>
        <v>-</v>
      </c>
      <c r="X19" s="102">
        <v>2</v>
      </c>
      <c r="Y19" s="184" t="str">
        <f t="shared" si="7"/>
        <v>-</v>
      </c>
      <c r="Z19" s="131" t="str">
        <f t="shared" si="8"/>
        <v>-</v>
      </c>
      <c r="AA19" s="186">
        <f t="shared" si="9"/>
        <v>1</v>
      </c>
      <c r="AB19" s="140"/>
      <c r="AC19" s="112" t="e">
        <f t="shared" si="10"/>
        <v>#VALUE!</v>
      </c>
      <c r="AD19" s="112" t="e">
        <f t="shared" si="11"/>
        <v>#VALUE!</v>
      </c>
      <c r="AE19" s="112" t="e">
        <f t="shared" si="12"/>
        <v>#VALUE!</v>
      </c>
      <c r="AF19" s="112" t="e">
        <f t="shared" si="13"/>
        <v>#VALUE!</v>
      </c>
      <c r="AG19" s="112" t="e">
        <f t="shared" si="14"/>
        <v>#VALUE!</v>
      </c>
      <c r="AH19" s="112" t="e">
        <f t="shared" si="15"/>
        <v>#VALUE!</v>
      </c>
      <c r="AI19" s="66"/>
      <c r="AJ19" s="66"/>
    </row>
    <row r="20" spans="1:36" ht="17.100000000000001" customHeight="1" x14ac:dyDescent="0.25">
      <c r="A20" s="107">
        <v>0.5</v>
      </c>
      <c r="B20" s="169">
        <f>VLOOKUP(Nom_X,'MPE Table'!$C$57:$AC$99,(HLOOKUP($A$5,'MPE Table'!$D$55:$AC$56,2,0)+1),0)</f>
        <v>2.2999999999999998</v>
      </c>
      <c r="C20" s="90"/>
      <c r="D20" s="83">
        <f t="shared" si="0"/>
        <v>0.15927378931187502</v>
      </c>
      <c r="E20" s="89"/>
      <c r="F20" s="92">
        <f t="shared" si="1"/>
        <v>0.15927378931187502</v>
      </c>
      <c r="H20" s="93">
        <f t="shared" si="2"/>
        <v>0</v>
      </c>
      <c r="I20" s="89">
        <v>1</v>
      </c>
      <c r="J20" s="89">
        <v>1</v>
      </c>
      <c r="K20" s="89">
        <v>1</v>
      </c>
      <c r="L20" s="93">
        <f t="shared" si="3"/>
        <v>0</v>
      </c>
      <c r="M20" s="89">
        <v>8</v>
      </c>
      <c r="N20" s="89">
        <v>7.0000000000000007E-2</v>
      </c>
      <c r="O20" s="89">
        <v>0.2</v>
      </c>
      <c r="P20" s="89">
        <v>1</v>
      </c>
      <c r="Q20" s="89">
        <v>0.11</v>
      </c>
      <c r="R20" s="89">
        <v>1.2</v>
      </c>
      <c r="S20" s="94">
        <v>0</v>
      </c>
      <c r="T20" s="169">
        <f t="shared" si="4"/>
        <v>4.5000000000000003E-5</v>
      </c>
      <c r="U20" s="89"/>
      <c r="V20" s="94">
        <f t="shared" si="5"/>
        <v>0</v>
      </c>
      <c r="W20" s="94" t="str">
        <f t="shared" si="6"/>
        <v>-</v>
      </c>
      <c r="X20" s="95">
        <v>2</v>
      </c>
      <c r="Y20" s="94" t="str">
        <f t="shared" si="7"/>
        <v>-</v>
      </c>
      <c r="Z20" s="130" t="str">
        <f t="shared" si="8"/>
        <v>-</v>
      </c>
      <c r="AA20" s="107">
        <f t="shared" si="9"/>
        <v>0.5</v>
      </c>
      <c r="AC20" s="112" t="e">
        <f t="shared" si="10"/>
        <v>#VALUE!</v>
      </c>
      <c r="AD20" s="112" t="e">
        <f t="shared" si="11"/>
        <v>#VALUE!</v>
      </c>
      <c r="AE20" s="112" t="e">
        <f t="shared" si="12"/>
        <v>#VALUE!</v>
      </c>
      <c r="AF20" s="112" t="e">
        <f t="shared" si="13"/>
        <v>#VALUE!</v>
      </c>
      <c r="AG20" s="112" t="e">
        <f t="shared" si="14"/>
        <v>#VALUE!</v>
      </c>
      <c r="AH20" s="112" t="e">
        <f t="shared" si="15"/>
        <v>#VALUE!</v>
      </c>
      <c r="AI20" s="66"/>
      <c r="AJ20" s="66"/>
    </row>
    <row r="21" spans="1:36" ht="17.100000000000001" customHeight="1" x14ac:dyDescent="0.25">
      <c r="A21" s="107">
        <v>0.3</v>
      </c>
      <c r="B21" s="169">
        <f>VLOOKUP(Nom_X,'MPE Table'!$C$57:$AC$99,(HLOOKUP($A$5,'MPE Table'!$D$55:$AC$56,2,0)+1),0)</f>
        <v>1.4</v>
      </c>
      <c r="C21" s="90"/>
      <c r="D21" s="91">
        <f t="shared" si="0"/>
        <v>9.5564273587125007E-2</v>
      </c>
      <c r="E21" s="89"/>
      <c r="F21" s="92">
        <f t="shared" si="1"/>
        <v>9.5564273587125007E-2</v>
      </c>
      <c r="H21" s="93">
        <f t="shared" si="2"/>
        <v>0</v>
      </c>
      <c r="I21" s="89">
        <v>1</v>
      </c>
      <c r="J21" s="89">
        <v>1</v>
      </c>
      <c r="K21" s="89">
        <v>1</v>
      </c>
      <c r="L21" s="93">
        <f t="shared" si="3"/>
        <v>0</v>
      </c>
      <c r="M21" s="89">
        <v>8</v>
      </c>
      <c r="N21" s="89">
        <v>7.0000000000000007E-2</v>
      </c>
      <c r="O21" s="89">
        <v>0.2</v>
      </c>
      <c r="P21" s="89">
        <v>1</v>
      </c>
      <c r="Q21" s="89">
        <v>0.11</v>
      </c>
      <c r="R21" s="89">
        <v>1.2</v>
      </c>
      <c r="S21" s="94">
        <v>0</v>
      </c>
      <c r="T21" s="169">
        <f t="shared" si="4"/>
        <v>4.5000000000000003E-5</v>
      </c>
      <c r="U21" s="89"/>
      <c r="V21" s="94">
        <f t="shared" si="5"/>
        <v>0</v>
      </c>
      <c r="W21" s="94" t="str">
        <f t="shared" si="6"/>
        <v>-</v>
      </c>
      <c r="X21" s="95">
        <v>2</v>
      </c>
      <c r="Y21" s="94" t="str">
        <f t="shared" si="7"/>
        <v>-</v>
      </c>
      <c r="Z21" s="130" t="str">
        <f t="shared" si="8"/>
        <v>-</v>
      </c>
      <c r="AA21" s="107">
        <f t="shared" si="9"/>
        <v>0.3</v>
      </c>
      <c r="AC21" s="112" t="e">
        <f t="shared" si="10"/>
        <v>#VALUE!</v>
      </c>
      <c r="AD21" s="112" t="e">
        <f t="shared" si="11"/>
        <v>#VALUE!</v>
      </c>
      <c r="AE21" s="112" t="e">
        <f t="shared" si="12"/>
        <v>#VALUE!</v>
      </c>
      <c r="AF21" s="112" t="e">
        <f t="shared" si="13"/>
        <v>#VALUE!</v>
      </c>
      <c r="AG21" s="112" t="e">
        <f t="shared" si="14"/>
        <v>#VALUE!</v>
      </c>
      <c r="AH21" s="112" t="e">
        <f t="shared" si="15"/>
        <v>#VALUE!</v>
      </c>
      <c r="AI21" s="66"/>
      <c r="AJ21" s="66"/>
    </row>
    <row r="22" spans="1:36" ht="17.100000000000001" customHeight="1" x14ac:dyDescent="0.25">
      <c r="A22" s="107">
        <v>0.2</v>
      </c>
      <c r="B22" s="169">
        <f>VLOOKUP(Nom_X,'MPE Table'!$C$57:$AC$99,(HLOOKUP($A$5,'MPE Table'!$D$55:$AC$56,2,0)+1),0)</f>
        <v>0.91</v>
      </c>
      <c r="C22" s="90"/>
      <c r="D22" s="91">
        <f t="shared" si="0"/>
        <v>6.3709515724750018E-2</v>
      </c>
      <c r="E22" s="89"/>
      <c r="F22" s="92">
        <f t="shared" si="1"/>
        <v>6.3709515724750018E-2</v>
      </c>
      <c r="H22" s="93">
        <f t="shared" si="2"/>
        <v>0</v>
      </c>
      <c r="I22" s="89">
        <v>1</v>
      </c>
      <c r="J22" s="89">
        <v>1</v>
      </c>
      <c r="K22" s="89">
        <v>1</v>
      </c>
      <c r="L22" s="93">
        <f t="shared" si="3"/>
        <v>0</v>
      </c>
      <c r="M22" s="89">
        <v>8</v>
      </c>
      <c r="N22" s="89">
        <v>7.0000000000000007E-2</v>
      </c>
      <c r="O22" s="89">
        <v>0.2</v>
      </c>
      <c r="P22" s="89">
        <v>1</v>
      </c>
      <c r="Q22" s="89">
        <v>0.11</v>
      </c>
      <c r="R22" s="89">
        <v>1.2</v>
      </c>
      <c r="S22" s="94">
        <v>0</v>
      </c>
      <c r="T22" s="169">
        <f t="shared" si="4"/>
        <v>4.5000000000000003E-5</v>
      </c>
      <c r="U22" s="89"/>
      <c r="V22" s="94">
        <f t="shared" si="5"/>
        <v>0</v>
      </c>
      <c r="W22" s="94" t="str">
        <f t="shared" si="6"/>
        <v>-</v>
      </c>
      <c r="X22" s="95">
        <v>2</v>
      </c>
      <c r="Y22" s="94" t="str">
        <f t="shared" si="7"/>
        <v>-</v>
      </c>
      <c r="Z22" s="130" t="str">
        <f t="shared" si="8"/>
        <v>-</v>
      </c>
      <c r="AA22" s="107">
        <f t="shared" si="9"/>
        <v>0.2</v>
      </c>
      <c r="AC22" s="112" t="e">
        <f t="shared" si="10"/>
        <v>#VALUE!</v>
      </c>
      <c r="AD22" s="112" t="e">
        <f t="shared" si="11"/>
        <v>#VALUE!</v>
      </c>
      <c r="AE22" s="112" t="e">
        <f t="shared" si="12"/>
        <v>#VALUE!</v>
      </c>
      <c r="AF22" s="112" t="e">
        <f t="shared" si="13"/>
        <v>#VALUE!</v>
      </c>
      <c r="AG22" s="112" t="e">
        <f t="shared" si="14"/>
        <v>#VALUE!</v>
      </c>
      <c r="AH22" s="112" t="e">
        <f t="shared" si="15"/>
        <v>#VALUE!</v>
      </c>
      <c r="AI22" s="66"/>
      <c r="AJ22" s="66"/>
    </row>
    <row r="23" spans="1:36" s="104" customFormat="1" ht="17.100000000000001" customHeight="1" x14ac:dyDescent="0.25">
      <c r="A23" s="108">
        <v>0.1</v>
      </c>
      <c r="B23" s="168">
        <f>VLOOKUP(Nom_X,'MPE Table'!$C$57:$AC$99,(HLOOKUP($A$5,'MPE Table'!$D$55:$AC$56,2,0)+1),0)</f>
        <v>0.45</v>
      </c>
      <c r="C23" s="98"/>
      <c r="D23" s="106">
        <f t="shared" si="0"/>
        <v>3.1854757862375009E-2</v>
      </c>
      <c r="E23" s="97"/>
      <c r="F23" s="99">
        <f t="shared" si="1"/>
        <v>3.1854757862375009E-2</v>
      </c>
      <c r="H23" s="100">
        <f t="shared" si="2"/>
        <v>0</v>
      </c>
      <c r="I23" s="97">
        <v>1</v>
      </c>
      <c r="J23" s="97">
        <v>1</v>
      </c>
      <c r="K23" s="97">
        <v>1</v>
      </c>
      <c r="L23" s="100">
        <f t="shared" ref="L23" si="43">IF(B23="-","-",MAX(ABS(J23-I23)/10^(ROUND(LOG(I23),1)),ABS(K23-I23)/10^(ROUND(LOG(I23),1)))*B23/SQRT(3))</f>
        <v>0</v>
      </c>
      <c r="M23" s="97">
        <v>8</v>
      </c>
      <c r="N23" s="97">
        <v>7.0000000000000007E-2</v>
      </c>
      <c r="O23" s="97">
        <v>0.2</v>
      </c>
      <c r="P23" s="97">
        <v>1</v>
      </c>
      <c r="Q23" s="97">
        <v>0.11</v>
      </c>
      <c r="R23" s="97">
        <v>1.2</v>
      </c>
      <c r="S23" s="101">
        <v>0</v>
      </c>
      <c r="T23" s="168">
        <f t="shared" si="4"/>
        <v>4.5000000000000003E-5</v>
      </c>
      <c r="U23" s="97"/>
      <c r="V23" s="101">
        <f t="shared" si="5"/>
        <v>0</v>
      </c>
      <c r="W23" s="133" t="str">
        <f t="shared" si="6"/>
        <v>-</v>
      </c>
      <c r="X23" s="102">
        <v>2</v>
      </c>
      <c r="Y23" s="101" t="str">
        <f t="shared" si="7"/>
        <v>-</v>
      </c>
      <c r="Z23" s="131" t="str">
        <f t="shared" ref="Z23" si="44">IF(OR(MPE_X="-",Y23="-"),"-",3*Uk_X/MPE_X)</f>
        <v>-</v>
      </c>
      <c r="AA23" s="108">
        <f t="shared" ref="AA23" si="45">A23</f>
        <v>0.1</v>
      </c>
      <c r="AB23" s="103"/>
      <c r="AC23" s="113" t="e">
        <f t="shared" ref="AC23" si="46">SUM(AD23:AH23)</f>
        <v>#VALUE!</v>
      </c>
      <c r="AD23" s="113" t="e">
        <f t="shared" ref="AD23" si="47">D23^2/$W23^2</f>
        <v>#VALUE!</v>
      </c>
      <c r="AE23" s="113" t="e">
        <f t="shared" ref="AE23" si="48">E23^2/$W23^2</f>
        <v>#VALUE!</v>
      </c>
      <c r="AF23" s="113" t="e">
        <f t="shared" ref="AF23" si="49">H23/$W23^2</f>
        <v>#VALUE!</v>
      </c>
      <c r="AG23" s="113" t="e">
        <f t="shared" ref="AG23" si="50">L23^2/$W23^2</f>
        <v>#VALUE!</v>
      </c>
      <c r="AH23" s="113" t="e">
        <f t="shared" ref="AH23" si="51">V23^2/$W23^2</f>
        <v>#VALUE!</v>
      </c>
    </row>
    <row r="24" spans="1:36" ht="17.100000000000001" customHeight="1" x14ac:dyDescent="0.25">
      <c r="A24" s="183">
        <v>0.1</v>
      </c>
      <c r="B24" s="184">
        <f>VLOOKUP(Nom_X,'MPE Table'!$C$57:$AC$99,(HLOOKUP($A$5,'MPE Table'!$D$55:$AC$56,2,0)+1),0)</f>
        <v>0.45</v>
      </c>
      <c r="C24" s="98"/>
      <c r="D24" s="185">
        <f t="shared" si="0"/>
        <v>3.1854757862375009E-2</v>
      </c>
      <c r="E24" s="97"/>
      <c r="F24" s="185">
        <f t="shared" si="1"/>
        <v>3.1854757862375009E-2</v>
      </c>
      <c r="G24" s="187"/>
      <c r="H24" s="184">
        <f t="shared" si="2"/>
        <v>0</v>
      </c>
      <c r="I24" s="97">
        <v>1</v>
      </c>
      <c r="J24" s="97">
        <v>1</v>
      </c>
      <c r="K24" s="97">
        <v>1</v>
      </c>
      <c r="L24" s="184">
        <f t="shared" si="3"/>
        <v>0</v>
      </c>
      <c r="M24" s="97">
        <v>8</v>
      </c>
      <c r="N24" s="97">
        <v>7.0000000000000007E-2</v>
      </c>
      <c r="O24" s="97">
        <v>0.2</v>
      </c>
      <c r="P24" s="97">
        <v>1</v>
      </c>
      <c r="Q24" s="97">
        <v>0.11</v>
      </c>
      <c r="R24" s="97">
        <v>1.2</v>
      </c>
      <c r="S24" s="184">
        <v>0</v>
      </c>
      <c r="T24" s="184">
        <f t="shared" si="4"/>
        <v>4.5000000000000003E-5</v>
      </c>
      <c r="U24" s="97"/>
      <c r="V24" s="184">
        <f t="shared" si="5"/>
        <v>0</v>
      </c>
      <c r="W24" s="184" t="str">
        <f t="shared" si="6"/>
        <v>-</v>
      </c>
      <c r="X24" s="102">
        <v>2</v>
      </c>
      <c r="Y24" s="184" t="str">
        <f t="shared" si="7"/>
        <v>-</v>
      </c>
      <c r="Z24" s="131" t="str">
        <f t="shared" si="8"/>
        <v>-</v>
      </c>
      <c r="AA24" s="186">
        <f t="shared" si="9"/>
        <v>0.1</v>
      </c>
      <c r="AB24" s="140"/>
      <c r="AC24" s="112" t="e">
        <f t="shared" si="10"/>
        <v>#VALUE!</v>
      </c>
      <c r="AD24" s="112" t="e">
        <f t="shared" si="11"/>
        <v>#VALUE!</v>
      </c>
      <c r="AE24" s="112" t="e">
        <f t="shared" si="12"/>
        <v>#VALUE!</v>
      </c>
      <c r="AF24" s="112" t="e">
        <f t="shared" si="13"/>
        <v>#VALUE!</v>
      </c>
      <c r="AG24" s="112" t="e">
        <f t="shared" si="14"/>
        <v>#VALUE!</v>
      </c>
      <c r="AH24" s="112" t="e">
        <f t="shared" si="15"/>
        <v>#VALUE!</v>
      </c>
      <c r="AI24" s="66"/>
      <c r="AJ24" s="66"/>
    </row>
    <row r="25" spans="1:36" ht="17.100000000000001" customHeight="1" x14ac:dyDescent="0.25">
      <c r="A25" s="107">
        <v>0.05</v>
      </c>
      <c r="B25" s="169">
        <f>VLOOKUP(Nom_X,'MPE Table'!$C$57:$AC$99,(HLOOKUP($A$5,'MPE Table'!$D$55:$AC$56,2,0)+1),0)</f>
        <v>0.36</v>
      </c>
      <c r="C25" s="90"/>
      <c r="D25" s="83">
        <f t="shared" si="0"/>
        <v>1.5927378931187505E-2</v>
      </c>
      <c r="E25" s="89"/>
      <c r="F25" s="92">
        <f t="shared" si="1"/>
        <v>1.5927378931187505E-2</v>
      </c>
      <c r="H25" s="93">
        <f t="shared" si="2"/>
        <v>0</v>
      </c>
      <c r="I25" s="89">
        <v>1</v>
      </c>
      <c r="J25" s="89">
        <v>1</v>
      </c>
      <c r="K25" s="89">
        <v>1</v>
      </c>
      <c r="L25" s="93">
        <f t="shared" si="3"/>
        <v>0</v>
      </c>
      <c r="M25" s="89">
        <v>8</v>
      </c>
      <c r="N25" s="89">
        <v>7.0000000000000007E-2</v>
      </c>
      <c r="O25" s="89">
        <v>0.2</v>
      </c>
      <c r="P25" s="89">
        <v>1</v>
      </c>
      <c r="Q25" s="89">
        <v>0.11</v>
      </c>
      <c r="R25" s="89">
        <v>1.2</v>
      </c>
      <c r="S25" s="94">
        <v>0</v>
      </c>
      <c r="T25" s="169">
        <f t="shared" si="4"/>
        <v>4.5000000000000003E-5</v>
      </c>
      <c r="U25" s="89"/>
      <c r="V25" s="94">
        <f t="shared" si="5"/>
        <v>0</v>
      </c>
      <c r="W25" s="94" t="str">
        <f t="shared" si="6"/>
        <v>-</v>
      </c>
      <c r="X25" s="95">
        <v>2</v>
      </c>
      <c r="Y25" s="94" t="str">
        <f t="shared" si="7"/>
        <v>-</v>
      </c>
      <c r="Z25" s="130" t="str">
        <f t="shared" si="8"/>
        <v>-</v>
      </c>
      <c r="AA25" s="107">
        <f t="shared" si="9"/>
        <v>0.05</v>
      </c>
      <c r="AC25" s="112" t="e">
        <f t="shared" si="10"/>
        <v>#VALUE!</v>
      </c>
      <c r="AD25" s="112" t="e">
        <f t="shared" si="11"/>
        <v>#VALUE!</v>
      </c>
      <c r="AE25" s="112" t="e">
        <f t="shared" si="12"/>
        <v>#VALUE!</v>
      </c>
      <c r="AF25" s="112" t="e">
        <f t="shared" si="13"/>
        <v>#VALUE!</v>
      </c>
      <c r="AG25" s="112" t="e">
        <f t="shared" si="14"/>
        <v>#VALUE!</v>
      </c>
      <c r="AH25" s="112" t="e">
        <f t="shared" si="15"/>
        <v>#VALUE!</v>
      </c>
      <c r="AI25" s="66"/>
      <c r="AJ25" s="66"/>
    </row>
    <row r="26" spans="1:36" ht="17.100000000000001" customHeight="1" x14ac:dyDescent="0.25">
      <c r="A26" s="107">
        <v>0.03</v>
      </c>
      <c r="B26" s="169">
        <f>VLOOKUP(Nom_X,'MPE Table'!$C$57:$AC$99,(HLOOKUP($A$5,'MPE Table'!$D$55:$AC$56,2,0)+1),0)</f>
        <v>0.32</v>
      </c>
      <c r="C26" s="90"/>
      <c r="D26" s="91">
        <f t="shared" si="0"/>
        <v>9.5564273587125017E-3</v>
      </c>
      <c r="E26" s="89"/>
      <c r="F26" s="92">
        <f t="shared" si="1"/>
        <v>9.5564273587125017E-3</v>
      </c>
      <c r="H26" s="93">
        <f t="shared" si="2"/>
        <v>0</v>
      </c>
      <c r="I26" s="89">
        <v>1</v>
      </c>
      <c r="J26" s="89">
        <v>1</v>
      </c>
      <c r="K26" s="89">
        <v>1</v>
      </c>
      <c r="L26" s="93">
        <f t="shared" si="3"/>
        <v>0</v>
      </c>
      <c r="M26" s="89">
        <v>8</v>
      </c>
      <c r="N26" s="89">
        <v>7.0000000000000007E-2</v>
      </c>
      <c r="O26" s="89">
        <v>0.2</v>
      </c>
      <c r="P26" s="89">
        <v>1</v>
      </c>
      <c r="Q26" s="89">
        <v>0.11</v>
      </c>
      <c r="R26" s="89">
        <v>1.2</v>
      </c>
      <c r="S26" s="94">
        <v>0</v>
      </c>
      <c r="T26" s="169">
        <f t="shared" si="4"/>
        <v>4.5000000000000003E-5</v>
      </c>
      <c r="U26" s="89"/>
      <c r="V26" s="94">
        <f t="shared" si="5"/>
        <v>0</v>
      </c>
      <c r="W26" s="94" t="str">
        <f t="shared" si="6"/>
        <v>-</v>
      </c>
      <c r="X26" s="95">
        <v>2</v>
      </c>
      <c r="Y26" s="94" t="str">
        <f t="shared" si="7"/>
        <v>-</v>
      </c>
      <c r="Z26" s="130" t="str">
        <f t="shared" si="8"/>
        <v>-</v>
      </c>
      <c r="AA26" s="107">
        <f t="shared" si="9"/>
        <v>0.03</v>
      </c>
      <c r="AC26" s="112" t="e">
        <f t="shared" si="10"/>
        <v>#VALUE!</v>
      </c>
      <c r="AD26" s="112" t="e">
        <f t="shared" si="11"/>
        <v>#VALUE!</v>
      </c>
      <c r="AE26" s="112" t="e">
        <f t="shared" si="12"/>
        <v>#VALUE!</v>
      </c>
      <c r="AF26" s="112" t="e">
        <f t="shared" si="13"/>
        <v>#VALUE!</v>
      </c>
      <c r="AG26" s="112" t="e">
        <f t="shared" si="14"/>
        <v>#VALUE!</v>
      </c>
      <c r="AH26" s="112" t="e">
        <f t="shared" si="15"/>
        <v>#VALUE!</v>
      </c>
      <c r="AI26" s="66"/>
      <c r="AJ26" s="66"/>
    </row>
    <row r="27" spans="1:36" ht="17.100000000000001" customHeight="1" x14ac:dyDescent="0.25">
      <c r="A27" s="107">
        <v>0.02</v>
      </c>
      <c r="B27" s="169">
        <f>VLOOKUP(Nom_X,'MPE Table'!$C$57:$AC$99,(HLOOKUP($A$5,'MPE Table'!$D$55:$AC$56,2,0)+1),0)</f>
        <v>0.23</v>
      </c>
      <c r="C27" s="90"/>
      <c r="D27" s="91">
        <f t="shared" si="0"/>
        <v>6.3709515724750011E-3</v>
      </c>
      <c r="E27" s="89"/>
      <c r="F27" s="92">
        <f t="shared" si="1"/>
        <v>6.3709515724750011E-3</v>
      </c>
      <c r="H27" s="93">
        <f t="shared" si="2"/>
        <v>0</v>
      </c>
      <c r="I27" s="89">
        <v>1</v>
      </c>
      <c r="J27" s="89">
        <v>1</v>
      </c>
      <c r="K27" s="89">
        <v>1</v>
      </c>
      <c r="L27" s="93">
        <f t="shared" si="3"/>
        <v>0</v>
      </c>
      <c r="M27" s="89">
        <v>8</v>
      </c>
      <c r="N27" s="89">
        <v>7.0000000000000007E-2</v>
      </c>
      <c r="O27" s="89">
        <v>0.2</v>
      </c>
      <c r="P27" s="89">
        <v>1</v>
      </c>
      <c r="Q27" s="89">
        <v>0.11</v>
      </c>
      <c r="R27" s="89">
        <v>1.2</v>
      </c>
      <c r="S27" s="94">
        <v>0</v>
      </c>
      <c r="T27" s="169">
        <f t="shared" si="4"/>
        <v>4.5000000000000003E-5</v>
      </c>
      <c r="U27" s="89"/>
      <c r="V27" s="94">
        <f t="shared" si="5"/>
        <v>0</v>
      </c>
      <c r="W27" s="94" t="str">
        <f t="shared" si="6"/>
        <v>-</v>
      </c>
      <c r="X27" s="95">
        <v>2</v>
      </c>
      <c r="Y27" s="94" t="str">
        <f t="shared" si="7"/>
        <v>-</v>
      </c>
      <c r="Z27" s="130" t="str">
        <f t="shared" si="8"/>
        <v>-</v>
      </c>
      <c r="AA27" s="107">
        <f t="shared" si="9"/>
        <v>0.02</v>
      </c>
      <c r="AC27" s="112" t="e">
        <f t="shared" si="10"/>
        <v>#VALUE!</v>
      </c>
      <c r="AD27" s="112" t="e">
        <f t="shared" si="11"/>
        <v>#VALUE!</v>
      </c>
      <c r="AE27" s="112" t="e">
        <f t="shared" si="12"/>
        <v>#VALUE!</v>
      </c>
      <c r="AF27" s="112" t="e">
        <f t="shared" si="13"/>
        <v>#VALUE!</v>
      </c>
      <c r="AG27" s="112" t="e">
        <f t="shared" si="14"/>
        <v>#VALUE!</v>
      </c>
      <c r="AH27" s="112" t="e">
        <f t="shared" si="15"/>
        <v>#VALUE!</v>
      </c>
      <c r="AI27" s="66"/>
      <c r="AJ27" s="66"/>
    </row>
    <row r="28" spans="1:36" s="104" customFormat="1" ht="17.100000000000001" customHeight="1" x14ac:dyDescent="0.25">
      <c r="A28" s="108">
        <v>0.01</v>
      </c>
      <c r="B28" s="168">
        <f>VLOOKUP(Nom_X,'MPE Table'!$C$57:$AC$99,(HLOOKUP($A$5,'MPE Table'!$D$55:$AC$56,2,0)+1),0)</f>
        <v>0.16</v>
      </c>
      <c r="C28" s="98"/>
      <c r="D28" s="106">
        <f t="shared" si="0"/>
        <v>3.1854757862375006E-3</v>
      </c>
      <c r="E28" s="97"/>
      <c r="F28" s="99">
        <f t="shared" si="1"/>
        <v>3.1854757862375006E-3</v>
      </c>
      <c r="H28" s="100">
        <f t="shared" si="2"/>
        <v>0</v>
      </c>
      <c r="I28" s="97">
        <v>1</v>
      </c>
      <c r="J28" s="97">
        <v>1</v>
      </c>
      <c r="K28" s="97">
        <v>1</v>
      </c>
      <c r="L28" s="100">
        <f t="shared" ref="L28" si="52">IF(B28="-","-",MAX(ABS(J28-I28)/10^(ROUND(LOG(I28),1)),ABS(K28-I28)/10^(ROUND(LOG(I28),1)))*B28/SQRT(3))</f>
        <v>0</v>
      </c>
      <c r="M28" s="97">
        <v>8</v>
      </c>
      <c r="N28" s="97">
        <v>7.0000000000000007E-2</v>
      </c>
      <c r="O28" s="97">
        <v>0.2</v>
      </c>
      <c r="P28" s="97">
        <v>1</v>
      </c>
      <c r="Q28" s="97">
        <v>0.11</v>
      </c>
      <c r="R28" s="97">
        <v>1.2</v>
      </c>
      <c r="S28" s="101">
        <v>0</v>
      </c>
      <c r="T28" s="168">
        <f t="shared" si="4"/>
        <v>4.5000000000000003E-5</v>
      </c>
      <c r="U28" s="97"/>
      <c r="V28" s="101">
        <f t="shared" si="5"/>
        <v>0</v>
      </c>
      <c r="W28" s="133" t="str">
        <f t="shared" si="6"/>
        <v>-</v>
      </c>
      <c r="X28" s="102">
        <v>2</v>
      </c>
      <c r="Y28" s="101" t="str">
        <f t="shared" si="7"/>
        <v>-</v>
      </c>
      <c r="Z28" s="131" t="str">
        <f t="shared" ref="Z28" si="53">IF(OR(MPE_X="-",Y28="-"),"-",3*Uk_X/MPE_X)</f>
        <v>-</v>
      </c>
      <c r="AA28" s="108">
        <f t="shared" ref="AA28" si="54">A28</f>
        <v>0.01</v>
      </c>
      <c r="AB28" s="103"/>
      <c r="AC28" s="113" t="e">
        <f t="shared" ref="AC28" si="55">SUM(AD28:AH28)</f>
        <v>#VALUE!</v>
      </c>
      <c r="AD28" s="113" t="e">
        <f t="shared" ref="AD28" si="56">D28^2/$W28^2</f>
        <v>#VALUE!</v>
      </c>
      <c r="AE28" s="113" t="e">
        <f t="shared" ref="AE28" si="57">E28^2/$W28^2</f>
        <v>#VALUE!</v>
      </c>
      <c r="AF28" s="113" t="e">
        <f t="shared" ref="AF28" si="58">H28/$W28^2</f>
        <v>#VALUE!</v>
      </c>
      <c r="AG28" s="113" t="e">
        <f t="shared" ref="AG28" si="59">L28^2/$W28^2</f>
        <v>#VALUE!</v>
      </c>
      <c r="AH28" s="113" t="e">
        <f t="shared" ref="AH28" si="60">V28^2/$W28^2</f>
        <v>#VALUE!</v>
      </c>
    </row>
    <row r="29" spans="1:36" ht="17.100000000000001" customHeight="1" x14ac:dyDescent="0.25">
      <c r="A29" s="183">
        <v>0.01</v>
      </c>
      <c r="B29" s="184">
        <f>VLOOKUP(Nom_X,'MPE Table'!$C$57:$AC$99,(HLOOKUP($A$5,'MPE Table'!$D$55:$AC$56,2,0)+1),0)</f>
        <v>0.16</v>
      </c>
      <c r="C29" s="98"/>
      <c r="D29" s="185">
        <f t="shared" si="0"/>
        <v>3.1854757862375006E-3</v>
      </c>
      <c r="E29" s="97"/>
      <c r="F29" s="185">
        <f t="shared" si="1"/>
        <v>3.1854757862375006E-3</v>
      </c>
      <c r="G29" s="187"/>
      <c r="H29" s="184">
        <f t="shared" si="2"/>
        <v>0</v>
      </c>
      <c r="I29" s="97">
        <v>1</v>
      </c>
      <c r="J29" s="97">
        <v>1</v>
      </c>
      <c r="K29" s="97">
        <v>1</v>
      </c>
      <c r="L29" s="184">
        <f t="shared" si="3"/>
        <v>0</v>
      </c>
      <c r="M29" s="97">
        <v>8</v>
      </c>
      <c r="N29" s="97">
        <v>7.0000000000000007E-2</v>
      </c>
      <c r="O29" s="97">
        <v>0.2</v>
      </c>
      <c r="P29" s="97">
        <v>1</v>
      </c>
      <c r="Q29" s="97">
        <v>0.11</v>
      </c>
      <c r="R29" s="97">
        <v>1.2</v>
      </c>
      <c r="S29" s="184">
        <v>0</v>
      </c>
      <c r="T29" s="184">
        <f t="shared" si="4"/>
        <v>4.5000000000000003E-5</v>
      </c>
      <c r="U29" s="97"/>
      <c r="V29" s="184">
        <f t="shared" si="5"/>
        <v>0</v>
      </c>
      <c r="W29" s="184" t="str">
        <f t="shared" si="6"/>
        <v>-</v>
      </c>
      <c r="X29" s="102">
        <v>2</v>
      </c>
      <c r="Y29" s="184" t="str">
        <f t="shared" si="7"/>
        <v>-</v>
      </c>
      <c r="Z29" s="131" t="str">
        <f t="shared" si="8"/>
        <v>-</v>
      </c>
      <c r="AA29" s="186">
        <f t="shared" si="9"/>
        <v>0.01</v>
      </c>
      <c r="AB29" s="140"/>
      <c r="AC29" s="112" t="e">
        <f t="shared" si="10"/>
        <v>#VALUE!</v>
      </c>
      <c r="AD29" s="112" t="e">
        <f t="shared" si="11"/>
        <v>#VALUE!</v>
      </c>
      <c r="AE29" s="112" t="e">
        <f t="shared" si="12"/>
        <v>#VALUE!</v>
      </c>
      <c r="AF29" s="112" t="e">
        <f t="shared" si="13"/>
        <v>#VALUE!</v>
      </c>
      <c r="AG29" s="112" t="e">
        <f t="shared" si="14"/>
        <v>#VALUE!</v>
      </c>
      <c r="AH29" s="112" t="e">
        <f t="shared" si="15"/>
        <v>#VALUE!</v>
      </c>
      <c r="AI29" s="66"/>
      <c r="AJ29" s="66"/>
    </row>
    <row r="30" spans="1:36" ht="17.100000000000001" customHeight="1" x14ac:dyDescent="0.25">
      <c r="A30" s="107">
        <v>5.0000000000000001E-3</v>
      </c>
      <c r="B30" s="169">
        <f>VLOOKUP(Nom_X,'MPE Table'!$C$57:$AC$99,(HLOOKUP($A$5,'MPE Table'!$D$55:$AC$56,2,0)+1),0)</f>
        <v>0.14000000000000001</v>
      </c>
      <c r="C30" s="90"/>
      <c r="D30" s="83">
        <f t="shared" si="0"/>
        <v>1.5927378931187503E-3</v>
      </c>
      <c r="E30" s="89"/>
      <c r="F30" s="92">
        <f t="shared" si="1"/>
        <v>1.5927378931187503E-3</v>
      </c>
      <c r="H30" s="93">
        <f t="shared" si="2"/>
        <v>0</v>
      </c>
      <c r="I30" s="89">
        <v>1</v>
      </c>
      <c r="J30" s="89">
        <v>1</v>
      </c>
      <c r="K30" s="89">
        <v>1</v>
      </c>
      <c r="L30" s="93">
        <f t="shared" si="3"/>
        <v>0</v>
      </c>
      <c r="M30" s="89">
        <v>8</v>
      </c>
      <c r="N30" s="89">
        <v>7.0000000000000007E-2</v>
      </c>
      <c r="O30" s="89">
        <v>0.2</v>
      </c>
      <c r="P30" s="89">
        <v>1</v>
      </c>
      <c r="Q30" s="89">
        <v>0.11</v>
      </c>
      <c r="R30" s="89">
        <v>1.2</v>
      </c>
      <c r="S30" s="94">
        <v>0</v>
      </c>
      <c r="T30" s="169">
        <f t="shared" si="4"/>
        <v>4.5000000000000003E-5</v>
      </c>
      <c r="U30" s="89"/>
      <c r="V30" s="94">
        <f t="shared" si="5"/>
        <v>0</v>
      </c>
      <c r="W30" s="94" t="str">
        <f t="shared" si="6"/>
        <v>-</v>
      </c>
      <c r="X30" s="95">
        <v>2</v>
      </c>
      <c r="Y30" s="94" t="str">
        <f t="shared" si="7"/>
        <v>-</v>
      </c>
      <c r="Z30" s="130" t="str">
        <f t="shared" si="8"/>
        <v>-</v>
      </c>
      <c r="AA30" s="107">
        <f t="shared" si="9"/>
        <v>5.0000000000000001E-3</v>
      </c>
      <c r="AC30" s="112" t="e">
        <f t="shared" si="10"/>
        <v>#VALUE!</v>
      </c>
      <c r="AD30" s="112" t="e">
        <f t="shared" si="11"/>
        <v>#VALUE!</v>
      </c>
      <c r="AE30" s="112" t="e">
        <f t="shared" si="12"/>
        <v>#VALUE!</v>
      </c>
      <c r="AF30" s="112" t="e">
        <f t="shared" si="13"/>
        <v>#VALUE!</v>
      </c>
      <c r="AG30" s="112" t="e">
        <f t="shared" si="14"/>
        <v>#VALUE!</v>
      </c>
      <c r="AH30" s="112" t="e">
        <f t="shared" si="15"/>
        <v>#VALUE!</v>
      </c>
      <c r="AI30" s="66"/>
      <c r="AJ30" s="66"/>
    </row>
    <row r="31" spans="1:36" ht="17.100000000000001" customHeight="1" x14ac:dyDescent="0.25">
      <c r="A31" s="107">
        <v>3.0000000000000001E-3</v>
      </c>
      <c r="B31" s="169">
        <f>VLOOKUP(Nom_X,'MPE Table'!$C$57:$AC$99,(HLOOKUP($A$5,'MPE Table'!$D$55:$AC$56,2,0)+1),0)</f>
        <v>0.11</v>
      </c>
      <c r="C31" s="90"/>
      <c r="D31" s="91">
        <f t="shared" si="0"/>
        <v>9.5564273587125015E-4</v>
      </c>
      <c r="E31" s="89"/>
      <c r="F31" s="92">
        <f t="shared" si="1"/>
        <v>9.5564273587125015E-4</v>
      </c>
      <c r="H31" s="93">
        <f t="shared" si="2"/>
        <v>0</v>
      </c>
      <c r="I31" s="89">
        <v>1</v>
      </c>
      <c r="J31" s="89">
        <v>1</v>
      </c>
      <c r="K31" s="89">
        <v>1</v>
      </c>
      <c r="L31" s="93">
        <f t="shared" si="3"/>
        <v>0</v>
      </c>
      <c r="M31" s="89">
        <v>8</v>
      </c>
      <c r="N31" s="89">
        <v>7.0000000000000007E-2</v>
      </c>
      <c r="O31" s="89">
        <v>0.2</v>
      </c>
      <c r="P31" s="89">
        <v>1</v>
      </c>
      <c r="Q31" s="89">
        <v>0.11</v>
      </c>
      <c r="R31" s="89">
        <v>1.2</v>
      </c>
      <c r="S31" s="94">
        <v>0</v>
      </c>
      <c r="T31" s="169">
        <f t="shared" si="4"/>
        <v>4.5000000000000003E-5</v>
      </c>
      <c r="U31" s="89"/>
      <c r="V31" s="94">
        <f t="shared" si="5"/>
        <v>0</v>
      </c>
      <c r="W31" s="94" t="str">
        <f t="shared" si="6"/>
        <v>-</v>
      </c>
      <c r="X31" s="95">
        <v>2</v>
      </c>
      <c r="Y31" s="94" t="str">
        <f t="shared" si="7"/>
        <v>-</v>
      </c>
      <c r="Z31" s="130" t="str">
        <f t="shared" si="8"/>
        <v>-</v>
      </c>
      <c r="AA31" s="107">
        <f t="shared" si="9"/>
        <v>3.0000000000000001E-3</v>
      </c>
      <c r="AC31" s="112" t="e">
        <f t="shared" si="10"/>
        <v>#VALUE!</v>
      </c>
      <c r="AD31" s="112" t="e">
        <f t="shared" si="11"/>
        <v>#VALUE!</v>
      </c>
      <c r="AE31" s="112" t="e">
        <f t="shared" si="12"/>
        <v>#VALUE!</v>
      </c>
      <c r="AF31" s="112" t="e">
        <f t="shared" si="13"/>
        <v>#VALUE!</v>
      </c>
      <c r="AG31" s="112" t="e">
        <f t="shared" si="14"/>
        <v>#VALUE!</v>
      </c>
      <c r="AH31" s="112" t="e">
        <f t="shared" si="15"/>
        <v>#VALUE!</v>
      </c>
      <c r="AI31" s="66"/>
      <c r="AJ31" s="66"/>
    </row>
    <row r="32" spans="1:36" ht="17.100000000000001" customHeight="1" x14ac:dyDescent="0.25">
      <c r="A32" s="107">
        <v>2E-3</v>
      </c>
      <c r="B32" s="169">
        <f>VLOOKUP(Nom_X,'MPE Table'!$C$57:$AC$99,(HLOOKUP($A$5,'MPE Table'!$D$55:$AC$56,2,0)+1),0)</f>
        <v>9.0999999999999998E-2</v>
      </c>
      <c r="C32" s="90"/>
      <c r="D32" s="91">
        <f t="shared" si="0"/>
        <v>6.3709515724750013E-4</v>
      </c>
      <c r="E32" s="89"/>
      <c r="F32" s="92">
        <f t="shared" si="1"/>
        <v>6.3709515724750013E-4</v>
      </c>
      <c r="H32" s="93">
        <f t="shared" si="2"/>
        <v>0</v>
      </c>
      <c r="I32" s="89">
        <v>1</v>
      </c>
      <c r="J32" s="89">
        <v>1</v>
      </c>
      <c r="K32" s="89">
        <v>1</v>
      </c>
      <c r="L32" s="93">
        <f t="shared" si="3"/>
        <v>0</v>
      </c>
      <c r="M32" s="89">
        <v>8</v>
      </c>
      <c r="N32" s="89">
        <v>7.0000000000000007E-2</v>
      </c>
      <c r="O32" s="89">
        <v>0.2</v>
      </c>
      <c r="P32" s="89">
        <v>1</v>
      </c>
      <c r="Q32" s="89">
        <v>0.11</v>
      </c>
      <c r="R32" s="89">
        <v>1.2</v>
      </c>
      <c r="S32" s="94">
        <v>0</v>
      </c>
      <c r="T32" s="169">
        <f t="shared" si="4"/>
        <v>4.5000000000000003E-5</v>
      </c>
      <c r="U32" s="89"/>
      <c r="V32" s="94">
        <f t="shared" si="5"/>
        <v>0</v>
      </c>
      <c r="W32" s="94" t="str">
        <f t="shared" si="6"/>
        <v>-</v>
      </c>
      <c r="X32" s="95">
        <v>2</v>
      </c>
      <c r="Y32" s="94" t="str">
        <f t="shared" si="7"/>
        <v>-</v>
      </c>
      <c r="Z32" s="130" t="str">
        <f t="shared" si="8"/>
        <v>-</v>
      </c>
      <c r="AA32" s="107">
        <f t="shared" si="9"/>
        <v>2E-3</v>
      </c>
      <c r="AC32" s="112" t="e">
        <f t="shared" si="10"/>
        <v>#VALUE!</v>
      </c>
      <c r="AD32" s="112" t="e">
        <f t="shared" si="11"/>
        <v>#VALUE!</v>
      </c>
      <c r="AE32" s="112" t="e">
        <f t="shared" si="12"/>
        <v>#VALUE!</v>
      </c>
      <c r="AF32" s="112" t="e">
        <f t="shared" si="13"/>
        <v>#VALUE!</v>
      </c>
      <c r="AG32" s="112" t="e">
        <f t="shared" si="14"/>
        <v>#VALUE!</v>
      </c>
      <c r="AH32" s="112" t="e">
        <f t="shared" si="15"/>
        <v>#VALUE!</v>
      </c>
      <c r="AI32" s="66"/>
      <c r="AJ32" s="66"/>
    </row>
    <row r="33" spans="1:36" s="104" customFormat="1" ht="17.100000000000001" customHeight="1" x14ac:dyDescent="0.25">
      <c r="A33" s="108">
        <v>1E-3</v>
      </c>
      <c r="B33" s="168">
        <f>VLOOKUP(Nom_X,'MPE Table'!$C$57:$AC$99,(HLOOKUP($A$5,'MPE Table'!$D$55:$AC$56,2,0)+1),0)</f>
        <v>6.8000000000000005E-2</v>
      </c>
      <c r="C33" s="98"/>
      <c r="D33" s="106">
        <f t="shared" si="0"/>
        <v>3.1854757862375007E-4</v>
      </c>
      <c r="E33" s="97"/>
      <c r="F33" s="99">
        <f t="shared" si="1"/>
        <v>3.1854757862375007E-4</v>
      </c>
      <c r="H33" s="100">
        <f t="shared" si="2"/>
        <v>0</v>
      </c>
      <c r="I33" s="97">
        <v>1</v>
      </c>
      <c r="J33" s="97">
        <v>1</v>
      </c>
      <c r="K33" s="97">
        <v>1</v>
      </c>
      <c r="L33" s="100">
        <f t="shared" ref="L33" si="61">IF(B33="-","-",MAX(ABS(J33-I33)/10^(ROUND(LOG(I33),1)),ABS(K33-I33)/10^(ROUND(LOG(I33),1)))*B33/SQRT(3))</f>
        <v>0</v>
      </c>
      <c r="M33" s="97">
        <v>8</v>
      </c>
      <c r="N33" s="97">
        <v>7.0000000000000007E-2</v>
      </c>
      <c r="O33" s="97">
        <v>0.2</v>
      </c>
      <c r="P33" s="97">
        <v>1</v>
      </c>
      <c r="Q33" s="97">
        <v>0.11</v>
      </c>
      <c r="R33" s="97">
        <v>1.2</v>
      </c>
      <c r="S33" s="101">
        <v>0</v>
      </c>
      <c r="T33" s="168">
        <f t="shared" si="4"/>
        <v>4.5000000000000003E-5</v>
      </c>
      <c r="U33" s="97"/>
      <c r="V33" s="101">
        <f t="shared" si="5"/>
        <v>0</v>
      </c>
      <c r="W33" s="133" t="str">
        <f t="shared" si="6"/>
        <v>-</v>
      </c>
      <c r="X33" s="102">
        <v>2</v>
      </c>
      <c r="Y33" s="101" t="str">
        <f t="shared" si="7"/>
        <v>-</v>
      </c>
      <c r="Z33" s="131" t="str">
        <f t="shared" ref="Z33" si="62">IF(OR(MPE_X="-",Y33="-"),"-",3*Uk_X/MPE_X)</f>
        <v>-</v>
      </c>
      <c r="AA33" s="108">
        <f t="shared" ref="AA33" si="63">A33</f>
        <v>1E-3</v>
      </c>
      <c r="AB33" s="103"/>
      <c r="AC33" s="113" t="e">
        <f t="shared" ref="AC33" si="64">SUM(AD33:AH33)</f>
        <v>#VALUE!</v>
      </c>
      <c r="AD33" s="113" t="e">
        <f t="shared" ref="AD33" si="65">D33^2/$W33^2</f>
        <v>#VALUE!</v>
      </c>
      <c r="AE33" s="113" t="e">
        <f t="shared" ref="AE33" si="66">E33^2/$W33^2</f>
        <v>#VALUE!</v>
      </c>
      <c r="AF33" s="113" t="e">
        <f t="shared" ref="AF33" si="67">H33/$W33^2</f>
        <v>#VALUE!</v>
      </c>
      <c r="AG33" s="113" t="e">
        <f t="shared" ref="AG33" si="68">L33^2/$W33^2</f>
        <v>#VALUE!</v>
      </c>
      <c r="AH33" s="113" t="e">
        <f t="shared" ref="AH33" si="69">V33^2/$W33^2</f>
        <v>#VALUE!</v>
      </c>
    </row>
    <row r="34" spans="1:36" ht="17.100000000000001" customHeight="1" x14ac:dyDescent="0.25">
      <c r="A34" s="183">
        <v>1E-3</v>
      </c>
      <c r="B34" s="184">
        <f>VLOOKUP(Nom_X,'MPE Table'!$C$57:$AC$99,(HLOOKUP($A$5,'MPE Table'!$D$55:$AC$56,2,0)+1),0)</f>
        <v>6.8000000000000005E-2</v>
      </c>
      <c r="C34" s="98"/>
      <c r="D34" s="185">
        <f t="shared" si="0"/>
        <v>3.1854757862375007E-4</v>
      </c>
      <c r="E34" s="97"/>
      <c r="F34" s="185">
        <f t="shared" si="1"/>
        <v>3.1854757862375007E-4</v>
      </c>
      <c r="G34" s="187"/>
      <c r="H34" s="184">
        <f t="shared" si="2"/>
        <v>0</v>
      </c>
      <c r="I34" s="97">
        <v>1</v>
      </c>
      <c r="J34" s="97">
        <v>1</v>
      </c>
      <c r="K34" s="97">
        <v>1</v>
      </c>
      <c r="L34" s="184">
        <f t="shared" si="3"/>
        <v>0</v>
      </c>
      <c r="M34" s="97">
        <v>8</v>
      </c>
      <c r="N34" s="97">
        <v>7.0000000000000007E-2</v>
      </c>
      <c r="O34" s="97">
        <v>0.2</v>
      </c>
      <c r="P34" s="97">
        <v>1</v>
      </c>
      <c r="Q34" s="97">
        <v>0.11</v>
      </c>
      <c r="R34" s="97">
        <v>1.2</v>
      </c>
      <c r="S34" s="184">
        <v>0</v>
      </c>
      <c r="T34" s="184">
        <f t="shared" si="4"/>
        <v>4.5000000000000003E-5</v>
      </c>
      <c r="U34" s="97"/>
      <c r="V34" s="184">
        <f t="shared" si="5"/>
        <v>0</v>
      </c>
      <c r="W34" s="184" t="str">
        <f t="shared" si="6"/>
        <v>-</v>
      </c>
      <c r="X34" s="102">
        <v>2</v>
      </c>
      <c r="Y34" s="184" t="str">
        <f t="shared" si="7"/>
        <v>-</v>
      </c>
      <c r="Z34" s="131" t="str">
        <f t="shared" si="8"/>
        <v>-</v>
      </c>
      <c r="AA34" s="186">
        <f t="shared" si="9"/>
        <v>1E-3</v>
      </c>
      <c r="AB34" s="140"/>
      <c r="AC34" s="112" t="e">
        <f t="shared" si="10"/>
        <v>#VALUE!</v>
      </c>
      <c r="AD34" s="112" t="e">
        <f t="shared" si="11"/>
        <v>#VALUE!</v>
      </c>
      <c r="AE34" s="112" t="e">
        <f t="shared" si="12"/>
        <v>#VALUE!</v>
      </c>
      <c r="AF34" s="112" t="e">
        <f t="shared" si="13"/>
        <v>#VALUE!</v>
      </c>
      <c r="AG34" s="112" t="e">
        <f t="shared" si="14"/>
        <v>#VALUE!</v>
      </c>
      <c r="AH34" s="112" t="e">
        <f t="shared" si="15"/>
        <v>#VALUE!</v>
      </c>
      <c r="AI34" s="66"/>
      <c r="AJ34" s="66"/>
    </row>
    <row r="35" spans="1:36" ht="17.100000000000001" customHeight="1" x14ac:dyDescent="0.25">
      <c r="A35" s="107">
        <v>5.0000000000000001E-4</v>
      </c>
      <c r="B35" s="169">
        <f>VLOOKUP(Nom_X,'MPE Table'!$C$57:$AC$99,(HLOOKUP($A$5,'MPE Table'!$D$55:$AC$56,2,0)+1),0)</f>
        <v>6.4000000000000001E-2</v>
      </c>
      <c r="C35" s="90"/>
      <c r="D35" s="83">
        <f t="shared" si="0"/>
        <v>1.5927378931187503E-4</v>
      </c>
      <c r="E35" s="89"/>
      <c r="F35" s="92">
        <f t="shared" si="1"/>
        <v>1.5927378931187503E-4</v>
      </c>
      <c r="H35" s="93">
        <f t="shared" si="2"/>
        <v>0</v>
      </c>
      <c r="I35" s="89">
        <v>1</v>
      </c>
      <c r="J35" s="89">
        <v>1</v>
      </c>
      <c r="K35" s="89">
        <v>1</v>
      </c>
      <c r="L35" s="93">
        <f t="shared" si="3"/>
        <v>0</v>
      </c>
      <c r="M35" s="89">
        <v>8</v>
      </c>
      <c r="N35" s="89">
        <v>7.0000000000000007E-2</v>
      </c>
      <c r="O35" s="89">
        <v>0.2</v>
      </c>
      <c r="P35" s="89">
        <v>1</v>
      </c>
      <c r="Q35" s="89">
        <v>0.11</v>
      </c>
      <c r="R35" s="89">
        <v>1.2</v>
      </c>
      <c r="S35" s="94">
        <v>0</v>
      </c>
      <c r="T35" s="169">
        <f t="shared" si="4"/>
        <v>4.5000000000000003E-5</v>
      </c>
      <c r="U35" s="89"/>
      <c r="V35" s="94">
        <f t="shared" si="5"/>
        <v>0</v>
      </c>
      <c r="W35" s="94" t="str">
        <f t="shared" si="6"/>
        <v>-</v>
      </c>
      <c r="X35" s="95">
        <v>2</v>
      </c>
      <c r="Y35" s="94" t="str">
        <f t="shared" si="7"/>
        <v>-</v>
      </c>
      <c r="Z35" s="130" t="str">
        <f t="shared" si="8"/>
        <v>-</v>
      </c>
      <c r="AA35" s="107">
        <f t="shared" si="9"/>
        <v>5.0000000000000001E-4</v>
      </c>
      <c r="AC35" s="112" t="e">
        <f t="shared" si="10"/>
        <v>#VALUE!</v>
      </c>
      <c r="AD35" s="112" t="e">
        <f t="shared" si="11"/>
        <v>#VALUE!</v>
      </c>
      <c r="AE35" s="112" t="e">
        <f t="shared" si="12"/>
        <v>#VALUE!</v>
      </c>
      <c r="AF35" s="112" t="e">
        <f t="shared" si="13"/>
        <v>#VALUE!</v>
      </c>
      <c r="AG35" s="112" t="e">
        <f t="shared" si="14"/>
        <v>#VALUE!</v>
      </c>
      <c r="AH35" s="112" t="e">
        <f t="shared" si="15"/>
        <v>#VALUE!</v>
      </c>
      <c r="AI35" s="66"/>
      <c r="AJ35" s="66"/>
    </row>
    <row r="36" spans="1:36" ht="17.100000000000001" customHeight="1" x14ac:dyDescent="0.25">
      <c r="A36" s="107">
        <v>2.9999999999999997E-4</v>
      </c>
      <c r="B36" s="169">
        <f>VLOOKUP(Nom_X,'MPE Table'!$C$57:$AC$99,(HLOOKUP($A$5,'MPE Table'!$D$55:$AC$56,2,0)+1),0)</f>
        <v>5.3999999999999999E-2</v>
      </c>
      <c r="C36" s="90"/>
      <c r="D36" s="91">
        <f t="shared" si="0"/>
        <v>9.5564273587125009E-5</v>
      </c>
      <c r="E36" s="89"/>
      <c r="F36" s="92">
        <f t="shared" si="1"/>
        <v>9.5564273587125009E-5</v>
      </c>
      <c r="H36" s="93">
        <f t="shared" si="2"/>
        <v>0</v>
      </c>
      <c r="I36" s="89">
        <v>1</v>
      </c>
      <c r="J36" s="89">
        <v>1</v>
      </c>
      <c r="K36" s="89">
        <v>1</v>
      </c>
      <c r="L36" s="93">
        <f t="shared" si="3"/>
        <v>0</v>
      </c>
      <c r="M36" s="89">
        <v>8</v>
      </c>
      <c r="N36" s="89">
        <v>7.0000000000000007E-2</v>
      </c>
      <c r="O36" s="89">
        <v>0.2</v>
      </c>
      <c r="P36" s="89">
        <v>1</v>
      </c>
      <c r="Q36" s="89">
        <v>0.11</v>
      </c>
      <c r="R36" s="89">
        <v>1.2</v>
      </c>
      <c r="S36" s="94">
        <v>0</v>
      </c>
      <c r="T36" s="169">
        <f t="shared" si="4"/>
        <v>4.5000000000000003E-5</v>
      </c>
      <c r="U36" s="89"/>
      <c r="V36" s="94">
        <f t="shared" si="5"/>
        <v>0</v>
      </c>
      <c r="W36" s="94" t="str">
        <f t="shared" si="6"/>
        <v>-</v>
      </c>
      <c r="X36" s="95">
        <v>2</v>
      </c>
      <c r="Y36" s="94" t="str">
        <f t="shared" si="7"/>
        <v>-</v>
      </c>
      <c r="Z36" s="130" t="str">
        <f t="shared" si="8"/>
        <v>-</v>
      </c>
      <c r="AA36" s="107">
        <f t="shared" si="9"/>
        <v>2.9999999999999997E-4</v>
      </c>
      <c r="AC36" s="112" t="e">
        <f t="shared" si="10"/>
        <v>#VALUE!</v>
      </c>
      <c r="AD36" s="112" t="e">
        <f t="shared" si="11"/>
        <v>#VALUE!</v>
      </c>
      <c r="AE36" s="112" t="e">
        <f t="shared" si="12"/>
        <v>#VALUE!</v>
      </c>
      <c r="AF36" s="112" t="e">
        <f t="shared" si="13"/>
        <v>#VALUE!</v>
      </c>
      <c r="AG36" s="112" t="e">
        <f t="shared" si="14"/>
        <v>#VALUE!</v>
      </c>
      <c r="AH36" s="112" t="e">
        <f t="shared" si="15"/>
        <v>#VALUE!</v>
      </c>
      <c r="AI36" s="66"/>
      <c r="AJ36" s="66"/>
    </row>
    <row r="37" spans="1:36" ht="17.100000000000001" customHeight="1" x14ac:dyDescent="0.25">
      <c r="A37" s="107">
        <v>2.0000000000000001E-4</v>
      </c>
      <c r="B37" s="169">
        <f>VLOOKUP(Nom_X,'MPE Table'!$C$57:$AC$99,(HLOOKUP($A$5,'MPE Table'!$D$55:$AC$56,2,0)+1),0)</f>
        <v>4.4999999999999998E-2</v>
      </c>
      <c r="C37" s="90"/>
      <c r="D37" s="91">
        <f t="shared" si="0"/>
        <v>6.3709515724750011E-5</v>
      </c>
      <c r="E37" s="89"/>
      <c r="F37" s="92">
        <f t="shared" si="1"/>
        <v>6.3709515724750011E-5</v>
      </c>
      <c r="H37" s="93">
        <f t="shared" si="2"/>
        <v>0</v>
      </c>
      <c r="I37" s="89">
        <v>1</v>
      </c>
      <c r="J37" s="89">
        <v>1</v>
      </c>
      <c r="K37" s="89">
        <v>1</v>
      </c>
      <c r="L37" s="93">
        <f t="shared" si="3"/>
        <v>0</v>
      </c>
      <c r="M37" s="89">
        <v>8</v>
      </c>
      <c r="N37" s="89">
        <v>7.0000000000000007E-2</v>
      </c>
      <c r="O37" s="89">
        <v>0.2</v>
      </c>
      <c r="P37" s="89">
        <v>1</v>
      </c>
      <c r="Q37" s="89">
        <v>0.11</v>
      </c>
      <c r="R37" s="89">
        <v>1.2</v>
      </c>
      <c r="S37" s="94">
        <v>0</v>
      </c>
      <c r="T37" s="169">
        <f t="shared" si="4"/>
        <v>4.5000000000000003E-5</v>
      </c>
      <c r="U37" s="89"/>
      <c r="V37" s="94">
        <f t="shared" si="5"/>
        <v>0</v>
      </c>
      <c r="W37" s="94" t="str">
        <f t="shared" si="6"/>
        <v>-</v>
      </c>
      <c r="X37" s="95">
        <v>2</v>
      </c>
      <c r="Y37" s="94" t="str">
        <f t="shared" si="7"/>
        <v>-</v>
      </c>
      <c r="Z37" s="130" t="str">
        <f t="shared" si="8"/>
        <v>-</v>
      </c>
      <c r="AA37" s="107">
        <f t="shared" si="9"/>
        <v>2.0000000000000001E-4</v>
      </c>
      <c r="AC37" s="112" t="e">
        <f t="shared" si="10"/>
        <v>#VALUE!</v>
      </c>
      <c r="AD37" s="112" t="e">
        <f t="shared" si="11"/>
        <v>#VALUE!</v>
      </c>
      <c r="AE37" s="112" t="e">
        <f t="shared" si="12"/>
        <v>#VALUE!</v>
      </c>
      <c r="AF37" s="112" t="e">
        <f t="shared" si="13"/>
        <v>#VALUE!</v>
      </c>
      <c r="AG37" s="112" t="e">
        <f t="shared" si="14"/>
        <v>#VALUE!</v>
      </c>
      <c r="AH37" s="112" t="e">
        <f t="shared" si="15"/>
        <v>#VALUE!</v>
      </c>
      <c r="AI37" s="66"/>
      <c r="AJ37" s="66"/>
    </row>
    <row r="38" spans="1:36" s="104" customFormat="1" ht="17.100000000000001" customHeight="1" x14ac:dyDescent="0.25">
      <c r="A38" s="108">
        <v>1E-4</v>
      </c>
      <c r="B38" s="168">
        <f>VLOOKUP(Nom_X,'MPE Table'!$C$57:$AC$99,(HLOOKUP($A$5,'MPE Table'!$D$55:$AC$56,2,0)+1),0)</f>
        <v>4.1000000000000002E-2</v>
      </c>
      <c r="C38" s="98"/>
      <c r="D38" s="106">
        <f t="shared" si="0"/>
        <v>3.1854757862375005E-5</v>
      </c>
      <c r="E38" s="97"/>
      <c r="F38" s="99">
        <f t="shared" si="1"/>
        <v>3.1854757862375005E-5</v>
      </c>
      <c r="H38" s="100">
        <f t="shared" si="2"/>
        <v>0</v>
      </c>
      <c r="I38" s="97">
        <v>1</v>
      </c>
      <c r="J38" s="97">
        <v>1</v>
      </c>
      <c r="K38" s="97">
        <v>1</v>
      </c>
      <c r="L38" s="100">
        <f t="shared" ref="L38" si="70">IF(B38="-","-",MAX(ABS(J38-I38)/10^(ROUND(LOG(I38),1)),ABS(K38-I38)/10^(ROUND(LOG(I38),1)))*B38/SQRT(3))</f>
        <v>0</v>
      </c>
      <c r="M38" s="97">
        <v>8</v>
      </c>
      <c r="N38" s="97">
        <v>7.0000000000000007E-2</v>
      </c>
      <c r="O38" s="97">
        <v>0.2</v>
      </c>
      <c r="P38" s="97">
        <v>1</v>
      </c>
      <c r="Q38" s="97">
        <v>0.11</v>
      </c>
      <c r="R38" s="97">
        <v>1.2</v>
      </c>
      <c r="S38" s="101">
        <v>0</v>
      </c>
      <c r="T38" s="168">
        <f t="shared" si="4"/>
        <v>4.5000000000000003E-5</v>
      </c>
      <c r="U38" s="97"/>
      <c r="V38" s="101">
        <f t="shared" si="5"/>
        <v>0</v>
      </c>
      <c r="W38" s="133" t="str">
        <f t="shared" si="6"/>
        <v>-</v>
      </c>
      <c r="X38" s="102">
        <v>2</v>
      </c>
      <c r="Y38" s="101" t="str">
        <f t="shared" si="7"/>
        <v>-</v>
      </c>
      <c r="Z38" s="131" t="str">
        <f t="shared" ref="Z38" si="71">IF(OR(MPE_X="-",Y38="-"),"-",3*Uk_X/MPE_X)</f>
        <v>-</v>
      </c>
      <c r="AA38" s="108">
        <f t="shared" ref="AA38" si="72">A38</f>
        <v>1E-4</v>
      </c>
      <c r="AB38" s="103"/>
      <c r="AC38" s="113" t="e">
        <f t="shared" ref="AC38" si="73">SUM(AD38:AH38)</f>
        <v>#VALUE!</v>
      </c>
      <c r="AD38" s="113" t="e">
        <f t="shared" ref="AD38" si="74">D38^2/$W38^2</f>
        <v>#VALUE!</v>
      </c>
      <c r="AE38" s="113" t="e">
        <f t="shared" ref="AE38" si="75">E38^2/$W38^2</f>
        <v>#VALUE!</v>
      </c>
      <c r="AF38" s="113" t="e">
        <f t="shared" ref="AF38" si="76">H38/$W38^2</f>
        <v>#VALUE!</v>
      </c>
      <c r="AG38" s="113" t="e">
        <f t="shared" ref="AG38" si="77">L38^2/$W38^2</f>
        <v>#VALUE!</v>
      </c>
      <c r="AH38" s="113" t="e">
        <f t="shared" ref="AH38" si="78">V38^2/$W38^2</f>
        <v>#VALUE!</v>
      </c>
    </row>
    <row r="39" spans="1:36" ht="17.100000000000001" customHeight="1" x14ac:dyDescent="0.25">
      <c r="A39" s="183">
        <v>1E-4</v>
      </c>
      <c r="B39" s="184">
        <f>VLOOKUP(Nom_X,'MPE Table'!$C$57:$AC$99,(HLOOKUP($A$5,'MPE Table'!$D$55:$AC$56,2,0)+1),0)</f>
        <v>4.1000000000000002E-2</v>
      </c>
      <c r="C39" s="98"/>
      <c r="D39" s="185">
        <f t="shared" si="0"/>
        <v>3.1854757862375005E-5</v>
      </c>
      <c r="E39" s="97"/>
      <c r="F39" s="185">
        <f t="shared" si="1"/>
        <v>3.1854757862375005E-5</v>
      </c>
      <c r="G39" s="187"/>
      <c r="H39" s="184">
        <f t="shared" si="2"/>
        <v>0</v>
      </c>
      <c r="I39" s="97">
        <v>1</v>
      </c>
      <c r="J39" s="97">
        <v>1</v>
      </c>
      <c r="K39" s="97">
        <v>1</v>
      </c>
      <c r="L39" s="184">
        <f t="shared" si="3"/>
        <v>0</v>
      </c>
      <c r="M39" s="97">
        <v>8</v>
      </c>
      <c r="N39" s="97">
        <v>7.0000000000000007E-2</v>
      </c>
      <c r="O39" s="97">
        <v>0.2</v>
      </c>
      <c r="P39" s="97">
        <v>1</v>
      </c>
      <c r="Q39" s="97">
        <v>0.11</v>
      </c>
      <c r="R39" s="97">
        <v>1.2</v>
      </c>
      <c r="S39" s="184">
        <v>0</v>
      </c>
      <c r="T39" s="184">
        <f t="shared" si="4"/>
        <v>4.5000000000000003E-5</v>
      </c>
      <c r="U39" s="97"/>
      <c r="V39" s="184">
        <f t="shared" si="5"/>
        <v>0</v>
      </c>
      <c r="W39" s="184" t="str">
        <f t="shared" si="6"/>
        <v>-</v>
      </c>
      <c r="X39" s="102">
        <v>2</v>
      </c>
      <c r="Y39" s="184" t="str">
        <f t="shared" si="7"/>
        <v>-</v>
      </c>
      <c r="Z39" s="131" t="str">
        <f t="shared" si="8"/>
        <v>-</v>
      </c>
      <c r="AA39" s="186">
        <f t="shared" si="9"/>
        <v>1E-4</v>
      </c>
      <c r="AB39" s="140"/>
      <c r="AC39" s="112" t="e">
        <f t="shared" si="10"/>
        <v>#VALUE!</v>
      </c>
      <c r="AD39" s="112" t="e">
        <f t="shared" si="11"/>
        <v>#VALUE!</v>
      </c>
      <c r="AE39" s="112" t="e">
        <f t="shared" si="12"/>
        <v>#VALUE!</v>
      </c>
      <c r="AF39" s="112" t="e">
        <f t="shared" si="13"/>
        <v>#VALUE!</v>
      </c>
      <c r="AG39" s="112" t="e">
        <f t="shared" si="14"/>
        <v>#VALUE!</v>
      </c>
      <c r="AH39" s="112" t="e">
        <f t="shared" si="15"/>
        <v>#VALUE!</v>
      </c>
      <c r="AI39" s="66"/>
      <c r="AJ39" s="66"/>
    </row>
    <row r="40" spans="1:36" ht="17.100000000000001" customHeight="1" x14ac:dyDescent="0.25">
      <c r="A40" s="107">
        <v>5.0000000000000002E-5</v>
      </c>
      <c r="B40" s="169">
        <f>VLOOKUP(Nom_X,'MPE Table'!$C$57:$AC$99,(HLOOKUP($A$5,'MPE Table'!$D$55:$AC$56,2,0)+1),0)</f>
        <v>3.5999999999999997E-2</v>
      </c>
      <c r="C40" s="90"/>
      <c r="D40" s="83">
        <f t="shared" si="0"/>
        <v>1.5927378931187503E-5</v>
      </c>
      <c r="E40" s="89"/>
      <c r="F40" s="92">
        <f t="shared" si="1"/>
        <v>1.5927378931187503E-5</v>
      </c>
      <c r="H40" s="93">
        <f t="shared" si="2"/>
        <v>0</v>
      </c>
      <c r="I40" s="89">
        <v>1</v>
      </c>
      <c r="J40" s="89">
        <v>1</v>
      </c>
      <c r="K40" s="89">
        <v>1</v>
      </c>
      <c r="L40" s="93">
        <f t="shared" si="3"/>
        <v>0</v>
      </c>
      <c r="M40" s="89">
        <v>8</v>
      </c>
      <c r="N40" s="89">
        <v>7.0000000000000007E-2</v>
      </c>
      <c r="O40" s="89">
        <v>0.2</v>
      </c>
      <c r="P40" s="89">
        <v>1</v>
      </c>
      <c r="Q40" s="89">
        <v>0.11</v>
      </c>
      <c r="R40" s="89">
        <v>1.2</v>
      </c>
      <c r="S40" s="94">
        <v>0</v>
      </c>
      <c r="T40" s="169">
        <f t="shared" si="4"/>
        <v>4.5000000000000003E-5</v>
      </c>
      <c r="U40" s="89"/>
      <c r="V40" s="94">
        <f t="shared" si="5"/>
        <v>0</v>
      </c>
      <c r="W40" s="94" t="str">
        <f t="shared" si="6"/>
        <v>-</v>
      </c>
      <c r="X40" s="95">
        <v>2</v>
      </c>
      <c r="Y40" s="94" t="str">
        <f t="shared" si="7"/>
        <v>-</v>
      </c>
      <c r="Z40" s="130" t="str">
        <f t="shared" si="8"/>
        <v>-</v>
      </c>
      <c r="AA40" s="107">
        <f t="shared" si="9"/>
        <v>5.0000000000000002E-5</v>
      </c>
      <c r="AC40" s="112" t="e">
        <f t="shared" si="10"/>
        <v>#VALUE!</v>
      </c>
      <c r="AD40" s="112" t="e">
        <f t="shared" si="11"/>
        <v>#VALUE!</v>
      </c>
      <c r="AE40" s="112" t="e">
        <f t="shared" si="12"/>
        <v>#VALUE!</v>
      </c>
      <c r="AF40" s="112" t="e">
        <f t="shared" si="13"/>
        <v>#VALUE!</v>
      </c>
      <c r="AG40" s="112" t="e">
        <f t="shared" si="14"/>
        <v>#VALUE!</v>
      </c>
      <c r="AH40" s="112" t="e">
        <f t="shared" si="15"/>
        <v>#VALUE!</v>
      </c>
      <c r="AI40" s="66"/>
      <c r="AJ40" s="66"/>
    </row>
    <row r="41" spans="1:36" ht="17.100000000000001" customHeight="1" x14ac:dyDescent="0.25">
      <c r="A41" s="107">
        <v>3.0000000000000001E-5</v>
      </c>
      <c r="B41" s="169">
        <f>VLOOKUP(Nom_X,'MPE Table'!$C$57:$AC$99,(HLOOKUP($A$5,'MPE Table'!$D$55:$AC$56,2,0)+1),0)</f>
        <v>3.2000000000000001E-2</v>
      </c>
      <c r="C41" s="90"/>
      <c r="D41" s="91">
        <f t="shared" si="0"/>
        <v>9.5564273587125013E-6</v>
      </c>
      <c r="E41" s="89"/>
      <c r="F41" s="92">
        <f t="shared" si="1"/>
        <v>9.5564273587125013E-6</v>
      </c>
      <c r="H41" s="93">
        <f t="shared" si="2"/>
        <v>0</v>
      </c>
      <c r="I41" s="89">
        <v>1</v>
      </c>
      <c r="J41" s="89">
        <v>1</v>
      </c>
      <c r="K41" s="89">
        <v>1</v>
      </c>
      <c r="L41" s="93">
        <f t="shared" si="3"/>
        <v>0</v>
      </c>
      <c r="M41" s="89">
        <v>8</v>
      </c>
      <c r="N41" s="89">
        <v>7.0000000000000007E-2</v>
      </c>
      <c r="O41" s="89">
        <v>0.2</v>
      </c>
      <c r="P41" s="89">
        <v>1</v>
      </c>
      <c r="Q41" s="89">
        <v>0.11</v>
      </c>
      <c r="R41" s="89">
        <v>1.2</v>
      </c>
      <c r="S41" s="94">
        <v>0</v>
      </c>
      <c r="T41" s="169">
        <f t="shared" si="4"/>
        <v>4.5000000000000003E-5</v>
      </c>
      <c r="U41" s="89"/>
      <c r="V41" s="94">
        <f t="shared" si="5"/>
        <v>0</v>
      </c>
      <c r="W41" s="94" t="str">
        <f t="shared" si="6"/>
        <v>-</v>
      </c>
      <c r="X41" s="95">
        <v>2</v>
      </c>
      <c r="Y41" s="94" t="str">
        <f t="shared" si="7"/>
        <v>-</v>
      </c>
      <c r="Z41" s="130" t="str">
        <f t="shared" si="8"/>
        <v>-</v>
      </c>
      <c r="AA41" s="107">
        <f t="shared" si="9"/>
        <v>3.0000000000000001E-5</v>
      </c>
      <c r="AC41" s="112" t="e">
        <f t="shared" si="10"/>
        <v>#VALUE!</v>
      </c>
      <c r="AD41" s="112" t="e">
        <f t="shared" si="11"/>
        <v>#VALUE!</v>
      </c>
      <c r="AE41" s="112" t="e">
        <f t="shared" si="12"/>
        <v>#VALUE!</v>
      </c>
      <c r="AF41" s="112" t="e">
        <f t="shared" si="13"/>
        <v>#VALUE!</v>
      </c>
      <c r="AG41" s="112" t="e">
        <f t="shared" si="14"/>
        <v>#VALUE!</v>
      </c>
      <c r="AH41" s="112" t="e">
        <f t="shared" si="15"/>
        <v>#VALUE!</v>
      </c>
      <c r="AI41" s="66"/>
      <c r="AJ41" s="66"/>
    </row>
    <row r="42" spans="1:36" ht="17.100000000000001" customHeight="1" x14ac:dyDescent="0.25">
      <c r="A42" s="107">
        <v>2.0000000000000002E-5</v>
      </c>
      <c r="B42" s="169">
        <f>VLOOKUP(Nom_X,'MPE Table'!$C$57:$AC$99,(HLOOKUP($A$5,'MPE Table'!$D$55:$AC$56,2,0)+1),0)</f>
        <v>2.9000000000000001E-2</v>
      </c>
      <c r="C42" s="90"/>
      <c r="D42" s="91">
        <f t="shared" si="0"/>
        <v>6.3709515724750014E-6</v>
      </c>
      <c r="E42" s="89"/>
      <c r="F42" s="92">
        <f t="shared" si="1"/>
        <v>6.3709515724750014E-6</v>
      </c>
      <c r="H42" s="93">
        <f t="shared" si="2"/>
        <v>0</v>
      </c>
      <c r="I42" s="89">
        <v>1</v>
      </c>
      <c r="J42" s="89">
        <v>1</v>
      </c>
      <c r="K42" s="89">
        <v>1</v>
      </c>
      <c r="L42" s="93">
        <f t="shared" si="3"/>
        <v>0</v>
      </c>
      <c r="M42" s="89">
        <v>8</v>
      </c>
      <c r="N42" s="89">
        <v>7.0000000000000007E-2</v>
      </c>
      <c r="O42" s="89">
        <v>0.2</v>
      </c>
      <c r="P42" s="89">
        <v>1</v>
      </c>
      <c r="Q42" s="89">
        <v>0.11</v>
      </c>
      <c r="R42" s="89">
        <v>1.2</v>
      </c>
      <c r="S42" s="94">
        <v>0</v>
      </c>
      <c r="T42" s="169">
        <f t="shared" si="4"/>
        <v>4.5000000000000003E-5</v>
      </c>
      <c r="U42" s="89"/>
      <c r="V42" s="94">
        <f t="shared" si="5"/>
        <v>0</v>
      </c>
      <c r="W42" s="94" t="str">
        <f t="shared" si="6"/>
        <v>-</v>
      </c>
      <c r="X42" s="95">
        <v>2</v>
      </c>
      <c r="Y42" s="94" t="str">
        <f t="shared" si="7"/>
        <v>-</v>
      </c>
      <c r="Z42" s="130" t="str">
        <f t="shared" si="8"/>
        <v>-</v>
      </c>
      <c r="AA42" s="107">
        <f t="shared" si="9"/>
        <v>2.0000000000000002E-5</v>
      </c>
      <c r="AC42" s="112" t="e">
        <f t="shared" si="10"/>
        <v>#VALUE!</v>
      </c>
      <c r="AD42" s="112" t="e">
        <f t="shared" si="11"/>
        <v>#VALUE!</v>
      </c>
      <c r="AE42" s="112" t="e">
        <f t="shared" si="12"/>
        <v>#VALUE!</v>
      </c>
      <c r="AF42" s="112" t="e">
        <f t="shared" si="13"/>
        <v>#VALUE!</v>
      </c>
      <c r="AG42" s="112" t="e">
        <f t="shared" si="14"/>
        <v>#VALUE!</v>
      </c>
      <c r="AH42" s="112" t="e">
        <f t="shared" si="15"/>
        <v>#VALUE!</v>
      </c>
      <c r="AI42" s="66"/>
      <c r="AJ42" s="66"/>
    </row>
    <row r="43" spans="1:36" ht="17.100000000000001" customHeight="1" x14ac:dyDescent="0.25">
      <c r="A43" s="108">
        <v>1.0000000000000001E-5</v>
      </c>
      <c r="B43" s="168">
        <f>VLOOKUP(Nom_X,'MPE Table'!$C$57:$AC$99,(HLOOKUP($A$5,'MPE Table'!$D$55:$AC$56,2,0)+1),0)</f>
        <v>2.7E-2</v>
      </c>
      <c r="C43" s="98"/>
      <c r="D43" s="106">
        <f t="shared" si="0"/>
        <v>3.1854757862375007E-6</v>
      </c>
      <c r="E43" s="97"/>
      <c r="F43" s="99">
        <f t="shared" si="1"/>
        <v>3.1854757862375007E-6</v>
      </c>
      <c r="G43" s="98"/>
      <c r="H43" s="100">
        <f t="shared" si="2"/>
        <v>0</v>
      </c>
      <c r="I43" s="97">
        <v>1</v>
      </c>
      <c r="J43" s="97">
        <v>1</v>
      </c>
      <c r="K43" s="97">
        <v>1</v>
      </c>
      <c r="L43" s="100">
        <f t="shared" ref="L43" si="79">IF(B43="-","-",MAX(ABS(J43-I43)/10^(ROUND(LOG(I43),1)),ABS(K43-I43)/10^(ROUND(LOG(I43),1)))*B43/SQRT(3))</f>
        <v>0</v>
      </c>
      <c r="M43" s="97">
        <v>8</v>
      </c>
      <c r="N43" s="97">
        <v>7.0000000000000007E-2</v>
      </c>
      <c r="O43" s="97">
        <v>0.2</v>
      </c>
      <c r="P43" s="97">
        <v>1</v>
      </c>
      <c r="Q43" s="97">
        <v>0.11</v>
      </c>
      <c r="R43" s="97">
        <v>1.2</v>
      </c>
      <c r="S43" s="101">
        <v>0</v>
      </c>
      <c r="T43" s="168">
        <f t="shared" si="4"/>
        <v>4.5000000000000003E-5</v>
      </c>
      <c r="U43" s="97"/>
      <c r="V43" s="101">
        <f t="shared" si="5"/>
        <v>0</v>
      </c>
      <c r="W43" s="133" t="str">
        <f t="shared" si="6"/>
        <v>-</v>
      </c>
      <c r="X43" s="102">
        <v>2</v>
      </c>
      <c r="Y43" s="101" t="str">
        <f t="shared" si="7"/>
        <v>-</v>
      </c>
      <c r="Z43" s="131" t="str">
        <f t="shared" ref="Z43" si="80">IF(OR(MPE_X="-",Y43="-"),"-",3*Uk_X/MPE_X)</f>
        <v>-</v>
      </c>
      <c r="AA43" s="108">
        <f t="shared" ref="AA43" si="81">A43</f>
        <v>1.0000000000000001E-5</v>
      </c>
      <c r="AB43" s="140"/>
      <c r="AC43" s="112" t="e">
        <f t="shared" ref="AC43" si="82">SUM(AD43:AH43)</f>
        <v>#VALUE!</v>
      </c>
      <c r="AD43" s="112" t="e">
        <f t="shared" ref="AD43" si="83">D43^2/$W43^2</f>
        <v>#VALUE!</v>
      </c>
      <c r="AE43" s="112" t="e">
        <f t="shared" ref="AE43" si="84">E43^2/$W43^2</f>
        <v>#VALUE!</v>
      </c>
      <c r="AF43" s="112" t="e">
        <f t="shared" ref="AF43" si="85">H43/$W43^2</f>
        <v>#VALUE!</v>
      </c>
      <c r="AG43" s="112" t="e">
        <f t="shared" ref="AG43" si="86">L43^2/$W43^2</f>
        <v>#VALUE!</v>
      </c>
      <c r="AH43" s="112" t="e">
        <f t="shared" ref="AH43" si="87">V43^2/$W43^2</f>
        <v>#VALUE!</v>
      </c>
      <c r="AI43" s="66"/>
      <c r="AJ43" s="66"/>
    </row>
    <row r="44" spans="1:36" ht="17.100000000000001" customHeight="1" x14ac:dyDescent="0.25">
      <c r="A44" s="183">
        <v>1.0000000000000001E-5</v>
      </c>
      <c r="B44" s="184">
        <f>VLOOKUP(Nom_X,'MPE Table'!$C$57:$AC$99,(HLOOKUP($A$5,'MPE Table'!$D$55:$AC$56,2,0)+1),0)</f>
        <v>2.7E-2</v>
      </c>
      <c r="C44" s="98"/>
      <c r="D44" s="185">
        <f t="shared" si="0"/>
        <v>3.1854757862375007E-6</v>
      </c>
      <c r="E44" s="97"/>
      <c r="F44" s="185">
        <f t="shared" si="1"/>
        <v>3.1854757862375007E-6</v>
      </c>
      <c r="H44" s="184">
        <f t="shared" si="2"/>
        <v>0</v>
      </c>
      <c r="I44" s="97">
        <v>1</v>
      </c>
      <c r="J44" s="97">
        <v>1</v>
      </c>
      <c r="K44" s="97">
        <v>1</v>
      </c>
      <c r="L44" s="184">
        <f t="shared" si="3"/>
        <v>0</v>
      </c>
      <c r="M44" s="97">
        <v>8</v>
      </c>
      <c r="N44" s="97">
        <v>7.0000000000000007E-2</v>
      </c>
      <c r="O44" s="97">
        <v>0.2</v>
      </c>
      <c r="P44" s="97">
        <v>1</v>
      </c>
      <c r="Q44" s="97">
        <v>0.11</v>
      </c>
      <c r="R44" s="97">
        <v>1.2</v>
      </c>
      <c r="S44" s="184">
        <v>0</v>
      </c>
      <c r="T44" s="184">
        <f t="shared" si="4"/>
        <v>4.5000000000000003E-5</v>
      </c>
      <c r="U44" s="97"/>
      <c r="V44" s="184">
        <f t="shared" si="5"/>
        <v>0</v>
      </c>
      <c r="W44" s="184" t="str">
        <f t="shared" si="6"/>
        <v>-</v>
      </c>
      <c r="X44" s="102">
        <v>2</v>
      </c>
      <c r="Y44" s="184" t="str">
        <f t="shared" si="7"/>
        <v>-</v>
      </c>
      <c r="Z44" s="131" t="str">
        <f t="shared" si="8"/>
        <v>-</v>
      </c>
      <c r="AA44" s="186">
        <f t="shared" si="9"/>
        <v>1.0000000000000001E-5</v>
      </c>
      <c r="AB44" s="140"/>
      <c r="AC44" s="112" t="e">
        <f t="shared" si="10"/>
        <v>#VALUE!</v>
      </c>
      <c r="AD44" s="112" t="e">
        <f t="shared" si="11"/>
        <v>#VALUE!</v>
      </c>
      <c r="AE44" s="112" t="e">
        <f t="shared" si="12"/>
        <v>#VALUE!</v>
      </c>
      <c r="AF44" s="112" t="e">
        <f t="shared" si="13"/>
        <v>#VALUE!</v>
      </c>
      <c r="AG44" s="112" t="e">
        <f t="shared" si="14"/>
        <v>#VALUE!</v>
      </c>
      <c r="AH44" s="112" t="e">
        <f t="shared" si="15"/>
        <v>#VALUE!</v>
      </c>
      <c r="AI44" s="66"/>
      <c r="AJ44" s="66"/>
    </row>
    <row r="45" spans="1:36" ht="17.100000000000001" customHeight="1" x14ac:dyDescent="0.25">
      <c r="A45" s="107">
        <v>5.0000000000000004E-6</v>
      </c>
      <c r="B45" s="169">
        <f>VLOOKUP(Nom_X,'MPE Table'!$C$57:$AC$99,(HLOOKUP($A$5,'MPE Table'!$D$55:$AC$56,2,0)+1),0)</f>
        <v>2.3E-2</v>
      </c>
      <c r="C45" s="90"/>
      <c r="D45" s="83">
        <f t="shared" si="0"/>
        <v>1.5927378931187504E-6</v>
      </c>
      <c r="E45" s="89"/>
      <c r="F45" s="92">
        <f t="shared" si="1"/>
        <v>1.5927378931187504E-6</v>
      </c>
      <c r="G45" s="78"/>
      <c r="H45" s="93">
        <f t="shared" si="2"/>
        <v>0</v>
      </c>
      <c r="I45" s="89">
        <v>1</v>
      </c>
      <c r="J45" s="89">
        <v>1</v>
      </c>
      <c r="K45" s="89">
        <v>1</v>
      </c>
      <c r="L45" s="93">
        <f t="shared" si="3"/>
        <v>0</v>
      </c>
      <c r="M45" s="89">
        <v>8</v>
      </c>
      <c r="N45" s="89">
        <v>7.0000000000000007E-2</v>
      </c>
      <c r="O45" s="89">
        <v>0.2</v>
      </c>
      <c r="P45" s="89">
        <v>1</v>
      </c>
      <c r="Q45" s="89">
        <v>0.11</v>
      </c>
      <c r="R45" s="89">
        <v>1.2</v>
      </c>
      <c r="S45" s="94">
        <v>0</v>
      </c>
      <c r="T45" s="169">
        <f t="shared" si="4"/>
        <v>4.5000000000000003E-5</v>
      </c>
      <c r="U45" s="89"/>
      <c r="V45" s="94">
        <f t="shared" si="5"/>
        <v>0</v>
      </c>
      <c r="W45" s="94" t="str">
        <f t="shared" si="6"/>
        <v>-</v>
      </c>
      <c r="X45" s="95">
        <v>2</v>
      </c>
      <c r="Y45" s="94" t="str">
        <f t="shared" si="7"/>
        <v>-</v>
      </c>
      <c r="Z45" s="130" t="str">
        <f t="shared" si="8"/>
        <v>-</v>
      </c>
      <c r="AA45" s="107">
        <f t="shared" si="9"/>
        <v>5.0000000000000004E-6</v>
      </c>
      <c r="AC45" s="112" t="e">
        <f t="shared" si="10"/>
        <v>#VALUE!</v>
      </c>
      <c r="AD45" s="112" t="e">
        <f t="shared" si="11"/>
        <v>#VALUE!</v>
      </c>
      <c r="AE45" s="112" t="e">
        <f t="shared" si="12"/>
        <v>#VALUE!</v>
      </c>
      <c r="AF45" s="112" t="e">
        <f t="shared" si="13"/>
        <v>#VALUE!</v>
      </c>
      <c r="AG45" s="112" t="e">
        <f t="shared" si="14"/>
        <v>#VALUE!</v>
      </c>
      <c r="AH45" s="112" t="e">
        <f t="shared" si="15"/>
        <v>#VALUE!</v>
      </c>
      <c r="AI45" s="66"/>
      <c r="AJ45" s="66"/>
    </row>
    <row r="46" spans="1:36" ht="17.100000000000001" customHeight="1" x14ac:dyDescent="0.25">
      <c r="A46" s="107">
        <v>3.0000000000000001E-6</v>
      </c>
      <c r="B46" s="169">
        <f>VLOOKUP(Nom_X,'MPE Table'!$C$57:$AC$99,(HLOOKUP($A$5,'MPE Table'!$D$55:$AC$56,2,0)+1),0)</f>
        <v>2.3E-2</v>
      </c>
      <c r="C46" s="90"/>
      <c r="D46" s="91">
        <f t="shared" si="0"/>
        <v>9.5564273587125017E-7</v>
      </c>
      <c r="E46" s="89"/>
      <c r="F46" s="92">
        <f t="shared" si="1"/>
        <v>9.5564273587125017E-7</v>
      </c>
      <c r="H46" s="93">
        <f t="shared" si="2"/>
        <v>0</v>
      </c>
      <c r="I46" s="89">
        <v>1</v>
      </c>
      <c r="J46" s="89">
        <v>1</v>
      </c>
      <c r="K46" s="89">
        <v>1</v>
      </c>
      <c r="L46" s="93">
        <f t="shared" si="3"/>
        <v>0</v>
      </c>
      <c r="M46" s="89">
        <v>8</v>
      </c>
      <c r="N46" s="89">
        <v>7.0000000000000007E-2</v>
      </c>
      <c r="O46" s="89">
        <v>0.2</v>
      </c>
      <c r="P46" s="89">
        <v>1</v>
      </c>
      <c r="Q46" s="89">
        <v>0.11</v>
      </c>
      <c r="R46" s="89">
        <v>1.2</v>
      </c>
      <c r="S46" s="94">
        <v>0</v>
      </c>
      <c r="T46" s="169">
        <f t="shared" si="4"/>
        <v>4.5000000000000003E-5</v>
      </c>
      <c r="U46" s="89"/>
      <c r="V46" s="94">
        <f t="shared" si="5"/>
        <v>0</v>
      </c>
      <c r="W46" s="94" t="str">
        <f t="shared" si="6"/>
        <v>-</v>
      </c>
      <c r="X46" s="95">
        <v>2</v>
      </c>
      <c r="Y46" s="94" t="str">
        <f t="shared" si="7"/>
        <v>-</v>
      </c>
      <c r="Z46" s="130" t="str">
        <f t="shared" si="8"/>
        <v>-</v>
      </c>
      <c r="AA46" s="107">
        <f t="shared" si="9"/>
        <v>3.0000000000000001E-6</v>
      </c>
      <c r="AC46" s="112" t="e">
        <f t="shared" si="10"/>
        <v>#VALUE!</v>
      </c>
      <c r="AD46" s="112" t="e">
        <f t="shared" si="11"/>
        <v>#VALUE!</v>
      </c>
      <c r="AE46" s="112" t="e">
        <f t="shared" si="12"/>
        <v>#VALUE!</v>
      </c>
      <c r="AF46" s="112" t="e">
        <f t="shared" si="13"/>
        <v>#VALUE!</v>
      </c>
      <c r="AG46" s="112" t="e">
        <f t="shared" si="14"/>
        <v>#VALUE!</v>
      </c>
      <c r="AH46" s="112" t="e">
        <f t="shared" si="15"/>
        <v>#VALUE!</v>
      </c>
      <c r="AI46" s="66"/>
      <c r="AJ46" s="66"/>
    </row>
    <row r="47" spans="1:36" ht="17.100000000000001" customHeight="1" x14ac:dyDescent="0.25">
      <c r="A47" s="107">
        <v>1.9999999999999999E-6</v>
      </c>
      <c r="B47" s="169">
        <f>VLOOKUP(Nom_X,'MPE Table'!$C$57:$AC$99,(HLOOKUP($A$5,'MPE Table'!$D$55:$AC$56,2,0)+1),0)</f>
        <v>2.3E-2</v>
      </c>
      <c r="C47" s="90"/>
      <c r="D47" s="91">
        <f t="shared" si="0"/>
        <v>6.3709515724750008E-7</v>
      </c>
      <c r="E47" s="89"/>
      <c r="F47" s="92">
        <f t="shared" si="1"/>
        <v>6.3709515724750008E-7</v>
      </c>
      <c r="H47" s="93">
        <f t="shared" si="2"/>
        <v>0</v>
      </c>
      <c r="I47" s="89">
        <v>1</v>
      </c>
      <c r="J47" s="89">
        <v>1</v>
      </c>
      <c r="K47" s="89">
        <v>1</v>
      </c>
      <c r="L47" s="93">
        <f t="shared" si="3"/>
        <v>0</v>
      </c>
      <c r="M47" s="89">
        <v>8</v>
      </c>
      <c r="N47" s="89">
        <v>7.0000000000000007E-2</v>
      </c>
      <c r="O47" s="89">
        <v>0.2</v>
      </c>
      <c r="P47" s="89">
        <v>1</v>
      </c>
      <c r="Q47" s="89">
        <v>0.11</v>
      </c>
      <c r="R47" s="89">
        <v>1.2</v>
      </c>
      <c r="S47" s="94">
        <v>0</v>
      </c>
      <c r="T47" s="169">
        <f t="shared" si="4"/>
        <v>4.5000000000000003E-5</v>
      </c>
      <c r="U47" s="89"/>
      <c r="V47" s="94">
        <f t="shared" si="5"/>
        <v>0</v>
      </c>
      <c r="W47" s="94" t="str">
        <f t="shared" si="6"/>
        <v>-</v>
      </c>
      <c r="X47" s="95">
        <v>2</v>
      </c>
      <c r="Y47" s="94" t="str">
        <f t="shared" si="7"/>
        <v>-</v>
      </c>
      <c r="Z47" s="130" t="str">
        <f t="shared" si="8"/>
        <v>-</v>
      </c>
      <c r="AA47" s="107">
        <f t="shared" si="9"/>
        <v>1.9999999999999999E-6</v>
      </c>
      <c r="AC47" s="112" t="e">
        <f t="shared" si="10"/>
        <v>#VALUE!</v>
      </c>
      <c r="AD47" s="112" t="e">
        <f t="shared" si="11"/>
        <v>#VALUE!</v>
      </c>
      <c r="AE47" s="112" t="e">
        <f t="shared" si="12"/>
        <v>#VALUE!</v>
      </c>
      <c r="AF47" s="112" t="e">
        <f t="shared" si="13"/>
        <v>#VALUE!</v>
      </c>
      <c r="AG47" s="112" t="e">
        <f t="shared" si="14"/>
        <v>#VALUE!</v>
      </c>
      <c r="AH47" s="112" t="e">
        <f t="shared" si="15"/>
        <v>#VALUE!</v>
      </c>
      <c r="AI47" s="66"/>
      <c r="AJ47" s="66"/>
    </row>
    <row r="48" spans="1:36" ht="17.100000000000001" customHeight="1" x14ac:dyDescent="0.25">
      <c r="A48" s="108">
        <v>9.9999999999999995E-7</v>
      </c>
      <c r="B48" s="168">
        <f>VLOOKUP(Nom_X,'MPE Table'!$C$57:$AC$99,(HLOOKUP($A$5,'MPE Table'!$D$55:$AC$56,2,0)+1),0)</f>
        <v>2.3E-2</v>
      </c>
      <c r="C48" s="98"/>
      <c r="D48" s="106">
        <f t="shared" si="0"/>
        <v>3.1854757862375004E-7</v>
      </c>
      <c r="E48" s="97"/>
      <c r="F48" s="99">
        <f t="shared" si="1"/>
        <v>3.1854757862375004E-7</v>
      </c>
      <c r="G48" s="98"/>
      <c r="H48" s="100">
        <f t="shared" si="2"/>
        <v>0</v>
      </c>
      <c r="I48" s="97">
        <v>1</v>
      </c>
      <c r="J48" s="97">
        <v>1</v>
      </c>
      <c r="K48" s="97">
        <v>1</v>
      </c>
      <c r="L48" s="100">
        <f t="shared" ref="L48" si="88">IF(B48="-","-",MAX(ABS(J48-I48)/10^(ROUND(LOG(I48),1)),ABS(K48-I48)/10^(ROUND(LOG(I48),1)))*B48/SQRT(3))</f>
        <v>0</v>
      </c>
      <c r="M48" s="97">
        <v>8</v>
      </c>
      <c r="N48" s="97">
        <v>7.0000000000000007E-2</v>
      </c>
      <c r="O48" s="97">
        <v>0.2</v>
      </c>
      <c r="P48" s="97">
        <v>1</v>
      </c>
      <c r="Q48" s="97">
        <v>0.11</v>
      </c>
      <c r="R48" s="97">
        <v>1.2</v>
      </c>
      <c r="S48" s="101">
        <v>0</v>
      </c>
      <c r="T48" s="168">
        <f t="shared" si="4"/>
        <v>4.5000000000000003E-5</v>
      </c>
      <c r="U48" s="97"/>
      <c r="V48" s="101">
        <f t="shared" si="5"/>
        <v>0</v>
      </c>
      <c r="W48" s="133" t="str">
        <f t="shared" si="6"/>
        <v>-</v>
      </c>
      <c r="X48" s="102">
        <v>2</v>
      </c>
      <c r="Y48" s="101" t="str">
        <f t="shared" si="7"/>
        <v>-</v>
      </c>
      <c r="Z48" s="131" t="str">
        <f t="shared" ref="Z48" si="89">IF(OR(MPE_X="-",Y48="-"),"-",3*Uk_X/MPE_X)</f>
        <v>-</v>
      </c>
      <c r="AA48" s="108">
        <f t="shared" ref="AA48" si="90">A48</f>
        <v>9.9999999999999995E-7</v>
      </c>
      <c r="AB48" s="140"/>
      <c r="AC48" s="112" t="e">
        <f t="shared" ref="AC48" si="91">SUM(AD48:AH48)</f>
        <v>#VALUE!</v>
      </c>
      <c r="AD48" s="112" t="e">
        <f t="shared" ref="AD48" si="92">D48^2/$W48^2</f>
        <v>#VALUE!</v>
      </c>
      <c r="AE48" s="112" t="e">
        <f t="shared" ref="AE48" si="93">E48^2/$W48^2</f>
        <v>#VALUE!</v>
      </c>
      <c r="AF48" s="112" t="e">
        <f t="shared" ref="AF48" si="94">H48/$W48^2</f>
        <v>#VALUE!</v>
      </c>
      <c r="AG48" s="112" t="e">
        <f t="shared" ref="AG48" si="95">L48^2/$W48^2</f>
        <v>#VALUE!</v>
      </c>
      <c r="AH48" s="112" t="e">
        <f t="shared" ref="AH48" si="96">V48^2/$W48^2</f>
        <v>#VALUE!</v>
      </c>
      <c r="AI48" s="66"/>
      <c r="AJ48" s="66"/>
    </row>
    <row r="49" spans="1:67" ht="17.100000000000001" customHeight="1" x14ac:dyDescent="0.25">
      <c r="A49" s="183">
        <v>9.9999999999999995E-7</v>
      </c>
      <c r="B49" s="184">
        <f>VLOOKUP(Nom_X,'MPE Table'!$C$57:$AC$99,(HLOOKUP($A$5,'MPE Table'!$D$55:$AC$56,2,0)+1),0)</f>
        <v>2.3E-2</v>
      </c>
      <c r="C49" s="98"/>
      <c r="D49" s="185">
        <f t="shared" si="0"/>
        <v>3.1854757862375004E-7</v>
      </c>
      <c r="E49" s="97"/>
      <c r="F49" s="185">
        <f t="shared" si="1"/>
        <v>3.1854757862375004E-7</v>
      </c>
      <c r="G49" s="187"/>
      <c r="H49" s="184">
        <f t="shared" si="2"/>
        <v>0</v>
      </c>
      <c r="I49" s="97">
        <v>1</v>
      </c>
      <c r="J49" s="97">
        <v>1</v>
      </c>
      <c r="K49" s="97">
        <v>1</v>
      </c>
      <c r="L49" s="184">
        <f t="shared" si="3"/>
        <v>0</v>
      </c>
      <c r="M49" s="97">
        <v>8</v>
      </c>
      <c r="N49" s="97">
        <v>7.0000000000000007E-2</v>
      </c>
      <c r="O49" s="97">
        <v>0.2</v>
      </c>
      <c r="P49" s="97">
        <v>1</v>
      </c>
      <c r="Q49" s="97">
        <v>0.11</v>
      </c>
      <c r="R49" s="97">
        <v>1.2</v>
      </c>
      <c r="S49" s="184">
        <v>0</v>
      </c>
      <c r="T49" s="184">
        <f t="shared" si="4"/>
        <v>4.5000000000000003E-5</v>
      </c>
      <c r="U49" s="97"/>
      <c r="V49" s="184">
        <f t="shared" si="5"/>
        <v>0</v>
      </c>
      <c r="W49" s="184" t="str">
        <f t="shared" si="6"/>
        <v>-</v>
      </c>
      <c r="X49" s="102">
        <v>2</v>
      </c>
      <c r="Y49" s="184" t="str">
        <f t="shared" si="7"/>
        <v>-</v>
      </c>
      <c r="Z49" s="131" t="str">
        <f t="shared" si="8"/>
        <v>-</v>
      </c>
      <c r="AA49" s="186">
        <f t="shared" si="9"/>
        <v>9.9999999999999995E-7</v>
      </c>
      <c r="AB49" s="140"/>
      <c r="AC49" s="112" t="e">
        <f t="shared" si="10"/>
        <v>#VALUE!</v>
      </c>
      <c r="AD49" s="112" t="e">
        <f t="shared" si="11"/>
        <v>#VALUE!</v>
      </c>
      <c r="AE49" s="112" t="e">
        <f t="shared" si="12"/>
        <v>#VALUE!</v>
      </c>
      <c r="AF49" s="112" t="e">
        <f t="shared" si="13"/>
        <v>#VALUE!</v>
      </c>
      <c r="AG49" s="112" t="e">
        <f t="shared" si="14"/>
        <v>#VALUE!</v>
      </c>
      <c r="AH49" s="112" t="e">
        <f t="shared" si="15"/>
        <v>#VALUE!</v>
      </c>
      <c r="AI49" s="66"/>
      <c r="AJ49" s="66"/>
    </row>
    <row r="50" spans="1:67" x14ac:dyDescent="0.25">
      <c r="E50"/>
      <c r="N50" s="66"/>
      <c r="O50" s="109"/>
      <c r="T50" s="134"/>
      <c r="U50" s="134"/>
      <c r="AC50" s="66"/>
      <c r="AD50" s="71"/>
    </row>
    <row r="51" spans="1:67" x14ac:dyDescent="0.25">
      <c r="N51" s="66"/>
      <c r="O51" s="109"/>
      <c r="T51" s="134"/>
      <c r="U51" s="134"/>
      <c r="AC51" s="66"/>
      <c r="AD51" s="71"/>
    </row>
    <row r="52" spans="1:67" x14ac:dyDescent="0.25">
      <c r="N52" s="66"/>
      <c r="O52" s="109"/>
      <c r="T52" s="134"/>
      <c r="U52" s="134"/>
      <c r="AC52" s="66"/>
      <c r="AD52" s="71"/>
    </row>
    <row r="53" spans="1:67" x14ac:dyDescent="0.25">
      <c r="N53" s="66"/>
      <c r="O53" s="109"/>
      <c r="T53" s="134"/>
      <c r="U53" s="134"/>
      <c r="AC53" s="66"/>
      <c r="AD53" s="71"/>
    </row>
    <row r="54" spans="1:67" x14ac:dyDescent="0.25">
      <c r="N54" s="66"/>
      <c r="O54" s="109"/>
      <c r="T54" s="134"/>
      <c r="U54" s="134"/>
      <c r="AC54" s="66"/>
      <c r="AD54" s="71"/>
    </row>
    <row r="55" spans="1:67" s="134" customFormat="1" x14ac:dyDescent="0.25">
      <c r="A55" s="66"/>
      <c r="B55" s="66"/>
      <c r="C55" s="66"/>
      <c r="D55" s="66"/>
      <c r="E55" s="66"/>
      <c r="F55" s="66"/>
      <c r="G55" s="66"/>
      <c r="J55" s="66"/>
      <c r="K55" s="66"/>
      <c r="L55" s="66"/>
      <c r="M55" s="66"/>
      <c r="N55" s="66"/>
      <c r="O55" s="109"/>
      <c r="P55" s="66"/>
      <c r="Q55" s="66"/>
      <c r="R55" s="66"/>
      <c r="S55" s="66"/>
      <c r="AC55" s="66"/>
      <c r="AD55" s="71"/>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row>
    <row r="56" spans="1:67" s="134" customFormat="1" x14ac:dyDescent="0.25">
      <c r="A56" s="66"/>
      <c r="B56" s="66"/>
      <c r="C56" s="66"/>
      <c r="D56" s="66"/>
      <c r="E56" s="66"/>
      <c r="F56" s="66"/>
      <c r="G56" s="66"/>
      <c r="J56" s="66"/>
      <c r="K56" s="66"/>
      <c r="L56" s="66"/>
      <c r="M56" s="66"/>
      <c r="N56" s="66"/>
      <c r="O56" s="109"/>
      <c r="P56" s="66"/>
      <c r="Q56" s="66"/>
      <c r="R56" s="66"/>
      <c r="S56" s="66"/>
      <c r="AC56" s="66"/>
      <c r="AD56" s="71"/>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row>
    <row r="57" spans="1:67" s="134" customFormat="1" x14ac:dyDescent="0.25">
      <c r="A57" s="66"/>
      <c r="B57" s="66"/>
      <c r="C57" s="66"/>
      <c r="D57" s="66"/>
      <c r="E57" s="66"/>
      <c r="F57" s="66"/>
      <c r="G57" s="66"/>
      <c r="J57" s="66"/>
      <c r="K57" s="66"/>
      <c r="L57" s="66"/>
      <c r="M57" s="66"/>
      <c r="N57" s="66"/>
      <c r="O57" s="66"/>
      <c r="P57" s="66"/>
      <c r="Q57" s="66"/>
      <c r="R57" s="66"/>
      <c r="S57" s="66"/>
      <c r="AC57" s="66"/>
      <c r="AD57" s="71"/>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row>
    <row r="58" spans="1:67" s="134" customFormat="1" x14ac:dyDescent="0.25">
      <c r="A58" s="66"/>
      <c r="B58" s="66"/>
      <c r="C58" s="66"/>
      <c r="D58" s="66"/>
      <c r="E58" s="66"/>
      <c r="F58" s="66"/>
      <c r="G58" s="66"/>
      <c r="J58" s="66"/>
      <c r="K58" s="66"/>
      <c r="L58" s="66"/>
      <c r="M58" s="66"/>
      <c r="N58" s="66"/>
      <c r="O58" s="66"/>
      <c r="P58" s="66"/>
      <c r="Q58" s="66"/>
      <c r="R58" s="66"/>
      <c r="S58" s="66"/>
      <c r="AC58" s="66"/>
      <c r="AD58" s="71"/>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row>
    <row r="59" spans="1:67" s="134" customFormat="1" x14ac:dyDescent="0.25">
      <c r="A59" s="66"/>
      <c r="B59" s="66"/>
      <c r="C59" s="66"/>
      <c r="D59" s="66"/>
      <c r="E59" s="66"/>
      <c r="F59" s="66"/>
      <c r="G59" s="66"/>
      <c r="J59" s="66"/>
      <c r="K59" s="66"/>
      <c r="L59" s="66"/>
      <c r="M59" s="66"/>
      <c r="N59" s="66"/>
      <c r="O59" s="66"/>
      <c r="P59" s="66"/>
      <c r="Q59" s="66"/>
      <c r="R59" s="66"/>
      <c r="S59" s="66"/>
      <c r="AC59" s="66"/>
      <c r="AD59" s="71"/>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row>
    <row r="60" spans="1:67" s="134" customFormat="1" x14ac:dyDescent="0.25">
      <c r="A60" s="66"/>
      <c r="B60" s="66"/>
      <c r="C60" s="66"/>
      <c r="D60" s="66"/>
      <c r="E60" s="66"/>
      <c r="F60" s="66"/>
      <c r="G60" s="66"/>
      <c r="J60" s="66"/>
      <c r="K60" s="66"/>
      <c r="L60" s="66"/>
      <c r="M60" s="66"/>
      <c r="N60" s="66"/>
      <c r="O60" s="66"/>
      <c r="P60" s="66"/>
      <c r="Q60" s="66"/>
      <c r="R60" s="66"/>
      <c r="S60" s="66"/>
      <c r="AC60" s="66"/>
      <c r="AD60" s="71"/>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row>
    <row r="61" spans="1:67" s="134" customFormat="1" x14ac:dyDescent="0.25">
      <c r="A61" s="66"/>
      <c r="B61" s="66"/>
      <c r="C61" s="66"/>
      <c r="D61" s="66"/>
      <c r="E61" s="66"/>
      <c r="F61" s="66"/>
      <c r="G61" s="66"/>
      <c r="J61" s="66"/>
      <c r="K61" s="66"/>
      <c r="L61" s="66"/>
      <c r="M61" s="66"/>
      <c r="N61" s="66"/>
      <c r="O61" s="66"/>
      <c r="P61" s="66"/>
      <c r="Q61" s="66"/>
      <c r="R61" s="66"/>
      <c r="S61" s="66"/>
      <c r="AC61" s="66"/>
      <c r="AD61" s="71"/>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row>
    <row r="62" spans="1:67" s="134" customFormat="1" x14ac:dyDescent="0.25">
      <c r="A62" s="66"/>
      <c r="B62" s="66"/>
      <c r="C62" s="66"/>
      <c r="D62" s="66"/>
      <c r="E62" s="66"/>
      <c r="F62" s="66"/>
      <c r="G62" s="66"/>
      <c r="J62" s="66"/>
      <c r="K62" s="66"/>
      <c r="L62" s="66"/>
      <c r="M62" s="66"/>
      <c r="N62" s="66"/>
      <c r="O62" s="66"/>
      <c r="P62" s="66"/>
      <c r="Q62" s="66"/>
      <c r="R62" s="66"/>
      <c r="S62" s="66"/>
      <c r="AC62" s="66"/>
      <c r="AD62" s="71"/>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row>
    <row r="63" spans="1:67" s="134" customFormat="1" x14ac:dyDescent="0.25">
      <c r="A63" s="66"/>
      <c r="B63" s="66"/>
      <c r="C63" s="66"/>
      <c r="D63" s="66"/>
      <c r="E63" s="66"/>
      <c r="F63" s="66"/>
      <c r="G63" s="66"/>
      <c r="J63" s="66"/>
      <c r="K63" s="66"/>
      <c r="L63" s="66"/>
      <c r="M63" s="66"/>
      <c r="N63" s="66"/>
      <c r="O63" s="66"/>
      <c r="P63" s="66"/>
      <c r="Q63" s="66"/>
      <c r="R63" s="66"/>
      <c r="S63" s="66"/>
      <c r="AC63" s="66"/>
      <c r="AD63" s="71"/>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row>
    <row r="64" spans="1:67" s="134" customFormat="1" x14ac:dyDescent="0.25">
      <c r="A64" s="66"/>
      <c r="B64" s="66"/>
      <c r="C64" s="66"/>
      <c r="D64" s="66"/>
      <c r="E64" s="66"/>
      <c r="F64" s="66"/>
      <c r="G64" s="66"/>
      <c r="J64" s="66"/>
      <c r="K64" s="66"/>
      <c r="L64" s="66"/>
      <c r="M64" s="66"/>
      <c r="N64" s="66"/>
      <c r="O64" s="66"/>
      <c r="P64" s="66"/>
      <c r="Q64" s="66"/>
      <c r="R64" s="66"/>
      <c r="S64" s="66"/>
      <c r="AC64" s="66"/>
      <c r="AD64" s="71"/>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row>
    <row r="65" spans="1:67" s="134" customFormat="1" x14ac:dyDescent="0.25">
      <c r="A65" s="66"/>
      <c r="B65" s="66"/>
      <c r="C65" s="66"/>
      <c r="D65" s="66"/>
      <c r="E65" s="66"/>
      <c r="F65" s="66"/>
      <c r="G65" s="66"/>
      <c r="J65" s="66"/>
      <c r="K65" s="66"/>
      <c r="L65" s="66"/>
      <c r="M65" s="66"/>
      <c r="N65" s="66"/>
      <c r="O65" s="66"/>
      <c r="P65" s="66"/>
      <c r="Q65" s="66"/>
      <c r="R65" s="66"/>
      <c r="S65" s="66"/>
      <c r="AC65" s="66"/>
      <c r="AD65" s="71"/>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row>
    <row r="66" spans="1:67" s="134" customFormat="1" x14ac:dyDescent="0.25">
      <c r="A66" s="66"/>
      <c r="B66" s="66"/>
      <c r="C66" s="66"/>
      <c r="D66" s="66"/>
      <c r="E66" s="66"/>
      <c r="F66" s="66"/>
      <c r="G66" s="66"/>
      <c r="J66" s="66"/>
      <c r="K66" s="66"/>
      <c r="L66" s="66"/>
      <c r="M66" s="66"/>
      <c r="N66" s="66"/>
      <c r="O66" s="66"/>
      <c r="P66" s="66"/>
      <c r="Q66" s="66"/>
      <c r="R66" s="66"/>
      <c r="S66" s="66"/>
      <c r="V66" s="66"/>
      <c r="W66" s="66"/>
      <c r="X66" s="66"/>
      <c r="AC66" s="66"/>
      <c r="AD66" s="71"/>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row>
    <row r="67" spans="1:67" s="134" customFormat="1" x14ac:dyDescent="0.25">
      <c r="A67" s="66"/>
      <c r="B67" s="66"/>
      <c r="C67" s="66"/>
      <c r="D67" s="66"/>
      <c r="E67" s="66"/>
      <c r="F67" s="66"/>
      <c r="G67" s="66"/>
      <c r="J67" s="66"/>
      <c r="K67" s="66"/>
      <c r="L67" s="66"/>
      <c r="M67" s="66"/>
      <c r="N67" s="66"/>
      <c r="O67" s="66"/>
      <c r="P67" s="66"/>
      <c r="Q67" s="66"/>
      <c r="R67" s="66"/>
      <c r="S67" s="66"/>
      <c r="V67" s="66"/>
      <c r="W67" s="66"/>
      <c r="X67" s="110"/>
      <c r="AC67" s="66"/>
      <c r="AD67" s="71"/>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row>
    <row r="68" spans="1:67" s="134" customFormat="1" x14ac:dyDescent="0.25">
      <c r="A68" s="66"/>
      <c r="B68" s="66"/>
      <c r="C68" s="66"/>
      <c r="D68" s="66"/>
      <c r="E68" s="66"/>
      <c r="F68" s="66"/>
      <c r="G68" s="66"/>
      <c r="J68" s="66"/>
      <c r="K68" s="66"/>
      <c r="L68" s="66"/>
      <c r="M68" s="66"/>
      <c r="N68" s="66"/>
      <c r="O68" s="66"/>
      <c r="P68" s="66"/>
      <c r="Q68" s="66"/>
      <c r="R68" s="66"/>
      <c r="S68" s="66"/>
      <c r="V68" s="66"/>
      <c r="W68" s="66"/>
      <c r="X68" s="66"/>
      <c r="AC68" s="66"/>
      <c r="AD68" s="71"/>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row>
    <row r="69" spans="1:67" s="134" customFormat="1" x14ac:dyDescent="0.25">
      <c r="A69" s="66"/>
      <c r="B69" s="66"/>
      <c r="C69" s="66"/>
      <c r="D69" s="66"/>
      <c r="E69" s="66"/>
      <c r="F69" s="66"/>
      <c r="G69" s="66"/>
      <c r="J69" s="66"/>
      <c r="K69" s="66"/>
      <c r="L69" s="66"/>
      <c r="M69" s="66"/>
      <c r="N69" s="66"/>
      <c r="O69" s="66"/>
      <c r="P69" s="66"/>
      <c r="Q69" s="66"/>
      <c r="R69" s="66"/>
      <c r="S69" s="66"/>
      <c r="V69" s="66"/>
      <c r="W69" s="66"/>
      <c r="X69" s="110"/>
      <c r="AC69" s="66"/>
      <c r="AD69" s="71"/>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row>
    <row r="70" spans="1:67" s="134" customFormat="1" x14ac:dyDescent="0.25">
      <c r="A70" s="66"/>
      <c r="B70" s="66"/>
      <c r="C70" s="66"/>
      <c r="D70" s="66"/>
      <c r="E70" s="66"/>
      <c r="F70" s="66"/>
      <c r="G70" s="66"/>
      <c r="J70" s="66"/>
      <c r="K70" s="66"/>
      <c r="L70" s="66"/>
      <c r="M70" s="66"/>
      <c r="N70" s="75"/>
      <c r="O70" s="66"/>
      <c r="P70" s="66"/>
      <c r="Q70" s="66"/>
      <c r="R70" s="66"/>
      <c r="S70" s="66"/>
      <c r="T70" s="66"/>
      <c r="U70" s="66"/>
      <c r="V70" s="66"/>
      <c r="W70" s="66"/>
      <c r="X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row>
    <row r="71" spans="1:67" s="134" customFormat="1" x14ac:dyDescent="0.25">
      <c r="A71" s="66"/>
      <c r="B71" s="66"/>
      <c r="C71" s="66"/>
      <c r="D71" s="66"/>
      <c r="E71" s="66"/>
      <c r="F71" s="66"/>
      <c r="G71" s="66"/>
      <c r="J71" s="66"/>
      <c r="K71" s="66"/>
      <c r="L71" s="66"/>
      <c r="M71" s="66"/>
      <c r="N71" s="75"/>
      <c r="O71" s="66"/>
      <c r="P71" s="66"/>
      <c r="Q71" s="66"/>
      <c r="R71" s="66"/>
      <c r="S71" s="66"/>
      <c r="T71" s="66"/>
      <c r="U71" s="66"/>
      <c r="V71" s="66"/>
      <c r="W71" s="66"/>
      <c r="X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row>
    <row r="72" spans="1:67" s="134" customFormat="1" x14ac:dyDescent="0.25">
      <c r="A72" s="66"/>
      <c r="B72" s="66"/>
      <c r="C72" s="66"/>
      <c r="D72" s="66"/>
      <c r="E72" s="66"/>
      <c r="F72" s="66"/>
      <c r="G72" s="66"/>
      <c r="J72" s="66"/>
      <c r="K72" s="66"/>
      <c r="L72" s="66"/>
      <c r="M72" s="66"/>
      <c r="N72" s="75"/>
      <c r="O72" s="66"/>
      <c r="P72" s="66"/>
      <c r="Q72" s="66"/>
      <c r="R72" s="66"/>
      <c r="S72" s="66"/>
      <c r="T72" s="66"/>
      <c r="U72" s="66"/>
      <c r="V72" s="66"/>
      <c r="W72" s="66"/>
      <c r="X72" s="66"/>
      <c r="Y72" s="66"/>
      <c r="Z72" s="66"/>
      <c r="AA72" s="66"/>
      <c r="AB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row>
    <row r="73" spans="1:67" s="134" customFormat="1" x14ac:dyDescent="0.25">
      <c r="A73" s="66"/>
      <c r="B73" s="66"/>
      <c r="C73" s="66"/>
      <c r="D73" s="66"/>
      <c r="E73" s="66"/>
      <c r="F73" s="66"/>
      <c r="G73" s="66"/>
      <c r="J73" s="66"/>
      <c r="K73" s="66"/>
      <c r="L73" s="66"/>
      <c r="M73" s="66"/>
      <c r="N73" s="75"/>
      <c r="O73" s="66"/>
      <c r="P73" s="66"/>
      <c r="Q73" s="66"/>
      <c r="R73" s="66"/>
      <c r="S73" s="66"/>
      <c r="T73" s="66"/>
      <c r="U73" s="66"/>
      <c r="V73" s="66"/>
      <c r="W73" s="66"/>
      <c r="X73" s="66"/>
      <c r="Y73" s="66"/>
      <c r="Z73" s="66"/>
      <c r="AA73" s="66"/>
      <c r="AB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row>
    <row r="74" spans="1:67" s="134" customFormat="1" x14ac:dyDescent="0.25">
      <c r="A74" s="66"/>
      <c r="B74" s="66"/>
      <c r="C74" s="66"/>
      <c r="D74" s="66"/>
      <c r="E74" s="66"/>
      <c r="F74" s="66"/>
      <c r="G74" s="66"/>
      <c r="J74" s="66"/>
      <c r="K74" s="66"/>
      <c r="L74" s="66"/>
      <c r="M74" s="66"/>
      <c r="N74" s="75"/>
      <c r="O74" s="66"/>
      <c r="P74" s="66"/>
      <c r="Q74" s="66"/>
      <c r="R74" s="66"/>
      <c r="S74" s="66"/>
      <c r="T74" s="66"/>
      <c r="U74" s="66"/>
      <c r="V74" s="66"/>
      <c r="W74" s="66"/>
      <c r="X74" s="66"/>
      <c r="Y74" s="66"/>
      <c r="Z74" s="66"/>
      <c r="AA74" s="66"/>
      <c r="AB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row>
    <row r="75" spans="1:67" s="134" customFormat="1" x14ac:dyDescent="0.25">
      <c r="A75" s="66"/>
      <c r="B75" s="66"/>
      <c r="C75" s="66"/>
      <c r="D75" s="66"/>
      <c r="E75" s="66"/>
      <c r="F75" s="66"/>
      <c r="G75" s="66"/>
      <c r="J75" s="66"/>
      <c r="K75" s="66"/>
      <c r="L75" s="66"/>
      <c r="M75" s="66"/>
      <c r="N75" s="75"/>
      <c r="O75" s="66"/>
      <c r="P75" s="66"/>
      <c r="Q75" s="66"/>
      <c r="R75" s="66"/>
      <c r="S75" s="66"/>
      <c r="T75" s="66"/>
      <c r="U75" s="66"/>
      <c r="V75" s="66"/>
      <c r="W75" s="66"/>
      <c r="X75" s="66"/>
      <c r="Y75" s="66"/>
      <c r="Z75" s="66"/>
      <c r="AA75" s="66"/>
      <c r="AB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row>
    <row r="76" spans="1:67" s="134" customFormat="1" x14ac:dyDescent="0.25">
      <c r="A76" s="66"/>
      <c r="B76" s="66"/>
      <c r="C76" s="66"/>
      <c r="D76" s="66"/>
      <c r="E76" s="66"/>
      <c r="F76" s="66"/>
      <c r="G76" s="66"/>
      <c r="J76" s="66"/>
      <c r="K76" s="66"/>
      <c r="L76" s="66"/>
      <c r="M76" s="66"/>
      <c r="N76" s="75"/>
      <c r="O76" s="66"/>
      <c r="P76" s="66"/>
      <c r="Q76" s="66"/>
      <c r="R76" s="66"/>
      <c r="S76" s="66"/>
      <c r="T76" s="66"/>
      <c r="U76" s="66"/>
      <c r="V76" s="66"/>
      <c r="W76" s="66"/>
      <c r="X76" s="66"/>
      <c r="Y76" s="66"/>
      <c r="Z76" s="66"/>
      <c r="AA76" s="66"/>
      <c r="AB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row>
    <row r="77" spans="1:67" s="134" customFormat="1" x14ac:dyDescent="0.25">
      <c r="A77" s="66"/>
      <c r="B77" s="66"/>
      <c r="C77" s="66"/>
      <c r="D77" s="66"/>
      <c r="E77" s="66"/>
      <c r="F77" s="66"/>
      <c r="G77" s="66"/>
      <c r="J77" s="66"/>
      <c r="K77" s="66"/>
      <c r="L77" s="66"/>
      <c r="M77" s="66"/>
      <c r="N77" s="75"/>
      <c r="O77" s="66"/>
      <c r="P77" s="66"/>
      <c r="Q77" s="66"/>
      <c r="R77" s="66"/>
      <c r="S77" s="66"/>
      <c r="T77" s="66"/>
      <c r="U77" s="66"/>
      <c r="V77" s="66"/>
      <c r="W77" s="66"/>
      <c r="X77" s="66"/>
      <c r="Y77" s="66"/>
      <c r="Z77" s="66"/>
      <c r="AA77" s="66"/>
      <c r="AB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row>
    <row r="78" spans="1:67" s="134" customFormat="1" x14ac:dyDescent="0.25">
      <c r="A78" s="66"/>
      <c r="B78" s="66"/>
      <c r="C78" s="66"/>
      <c r="D78" s="66"/>
      <c r="E78" s="66"/>
      <c r="F78" s="66"/>
      <c r="G78" s="66"/>
      <c r="J78" s="66"/>
      <c r="K78" s="66"/>
      <c r="L78" s="66"/>
      <c r="M78" s="66"/>
      <c r="N78" s="75"/>
      <c r="O78" s="66"/>
      <c r="P78" s="66"/>
      <c r="Q78" s="66"/>
      <c r="R78" s="66"/>
      <c r="S78" s="66"/>
      <c r="T78" s="66"/>
      <c r="U78" s="66"/>
      <c r="V78" s="66"/>
      <c r="W78" s="66"/>
      <c r="X78" s="66"/>
      <c r="Y78" s="66"/>
      <c r="Z78" s="66"/>
      <c r="AA78" s="66"/>
      <c r="AB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row>
    <row r="79" spans="1:67" s="134" customFormat="1" x14ac:dyDescent="0.25">
      <c r="A79" s="66"/>
      <c r="B79" s="66"/>
      <c r="C79" s="66"/>
      <c r="D79" s="66"/>
      <c r="E79" s="66"/>
      <c r="F79" s="66"/>
      <c r="G79" s="66"/>
      <c r="J79" s="66"/>
      <c r="K79" s="66"/>
      <c r="L79" s="66"/>
      <c r="M79" s="66"/>
      <c r="N79" s="75"/>
      <c r="O79" s="66"/>
      <c r="P79" s="66"/>
      <c r="Q79" s="66"/>
      <c r="R79" s="66"/>
      <c r="S79" s="66"/>
      <c r="T79" s="66"/>
      <c r="U79" s="66"/>
      <c r="V79" s="66"/>
      <c r="W79" s="66"/>
      <c r="X79" s="66"/>
      <c r="Y79" s="66"/>
      <c r="Z79" s="66"/>
      <c r="AA79" s="66"/>
      <c r="AB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row>
    <row r="80" spans="1:67" s="134" customFormat="1" x14ac:dyDescent="0.25">
      <c r="A80" s="66"/>
      <c r="B80" s="66"/>
      <c r="C80" s="66"/>
      <c r="D80" s="66"/>
      <c r="E80" s="66"/>
      <c r="F80" s="66"/>
      <c r="G80" s="66"/>
      <c r="J80" s="66"/>
      <c r="K80" s="66"/>
      <c r="L80" s="66"/>
      <c r="M80" s="66"/>
      <c r="N80" s="75"/>
      <c r="O80" s="66"/>
      <c r="P80" s="66"/>
      <c r="Q80" s="66"/>
      <c r="R80" s="66"/>
      <c r="S80" s="66"/>
      <c r="T80" s="66"/>
      <c r="U80" s="66"/>
      <c r="V80" s="66"/>
      <c r="W80" s="66"/>
      <c r="X80" s="66"/>
      <c r="Y80" s="66"/>
      <c r="Z80" s="66"/>
      <c r="AA80" s="66"/>
      <c r="AB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row>
    <row r="81" spans="1:67" s="134" customFormat="1" x14ac:dyDescent="0.25">
      <c r="A81" s="66"/>
      <c r="B81" s="66"/>
      <c r="C81" s="66"/>
      <c r="D81" s="66"/>
      <c r="E81" s="111" t="s">
        <v>52</v>
      </c>
      <c r="F81" s="66"/>
      <c r="G81" s="66"/>
      <c r="J81" s="66"/>
      <c r="K81" s="66"/>
      <c r="L81" s="66"/>
      <c r="M81" s="66"/>
      <c r="N81" s="75"/>
      <c r="O81" s="66"/>
      <c r="P81" s="66"/>
      <c r="Q81" s="66"/>
      <c r="R81" s="66"/>
      <c r="S81" s="66"/>
      <c r="T81" s="66"/>
      <c r="U81" s="66"/>
      <c r="V81" s="66"/>
      <c r="W81" s="66"/>
      <c r="X81" s="66"/>
      <c r="Y81" s="66"/>
      <c r="Z81" s="66"/>
      <c r="AA81" s="66"/>
      <c r="AB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row>
    <row r="82" spans="1:67" s="134" customFormat="1" x14ac:dyDescent="0.25">
      <c r="A82" s="66"/>
      <c r="B82" s="66"/>
      <c r="C82" s="66"/>
      <c r="D82" s="66"/>
      <c r="E82" s="66"/>
      <c r="F82" s="66"/>
      <c r="G82" s="66"/>
      <c r="J82" s="66"/>
      <c r="K82" s="66"/>
      <c r="L82" s="66"/>
      <c r="M82" s="66"/>
      <c r="N82" s="75"/>
      <c r="O82" s="66"/>
      <c r="P82" s="66"/>
      <c r="Q82" s="66"/>
      <c r="R82" s="66"/>
      <c r="S82" s="66"/>
      <c r="T82" s="66"/>
      <c r="U82" s="66"/>
      <c r="V82" s="66"/>
      <c r="W82" s="66"/>
      <c r="X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row>
    <row r="83" spans="1:67" s="134" customFormat="1" x14ac:dyDescent="0.25">
      <c r="A83" s="66"/>
      <c r="B83" s="66"/>
      <c r="C83" s="66"/>
      <c r="D83" s="66"/>
      <c r="E83" s="66"/>
      <c r="F83" s="66"/>
      <c r="G83" s="66"/>
      <c r="J83" s="66"/>
      <c r="K83" s="66"/>
      <c r="L83" s="66"/>
      <c r="M83" s="66"/>
      <c r="N83" s="75"/>
      <c r="O83" s="66"/>
      <c r="P83" s="66"/>
      <c r="Q83" s="66"/>
      <c r="R83" s="66"/>
      <c r="S83" s="66"/>
      <c r="T83" s="66"/>
      <c r="U83" s="66"/>
      <c r="V83" s="66"/>
      <c r="W83" s="66"/>
      <c r="X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row>
    <row r="84" spans="1:67" s="134" customFormat="1" x14ac:dyDescent="0.25">
      <c r="A84" s="66"/>
      <c r="B84" s="66"/>
      <c r="C84" s="66"/>
      <c r="D84" s="66"/>
      <c r="E84" s="66"/>
      <c r="F84" s="66"/>
      <c r="G84" s="66"/>
      <c r="J84" s="66"/>
      <c r="K84" s="66"/>
      <c r="L84" s="66"/>
      <c r="M84" s="66"/>
      <c r="N84" s="75"/>
      <c r="O84" s="66"/>
      <c r="P84" s="66"/>
      <c r="Q84" s="66"/>
      <c r="R84" s="66"/>
      <c r="S84" s="66"/>
      <c r="T84" s="66"/>
      <c r="U84" s="66"/>
      <c r="V84" s="66"/>
      <c r="W84" s="66"/>
      <c r="X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row>
  </sheetData>
  <sheetProtection password="FFED" sheet="1" formatCells="0" formatColumns="0" formatRows="0"/>
  <mergeCells count="11">
    <mergeCell ref="BJ2:BN2"/>
    <mergeCell ref="A5:B5"/>
    <mergeCell ref="A6:B6"/>
    <mergeCell ref="H6:AA6"/>
    <mergeCell ref="A4:B4"/>
    <mergeCell ref="D6:F6"/>
    <mergeCell ref="AB1:AE1"/>
    <mergeCell ref="AM1:BI1"/>
    <mergeCell ref="AP2:AX2"/>
    <mergeCell ref="AY2:BH2"/>
    <mergeCell ref="AC6:AH6"/>
  </mergeCells>
  <conditionalFormatting sqref="Z8:Z11 Z16:Z17 Z14 Z40:Z42 Z35:Z37 Z30:Z32 Z25:Z27 Z20:Z22">
    <cfRule type="cellIs" dxfId="37" priority="43" operator="equal">
      <formula>"-"</formula>
    </cfRule>
    <cfRule type="expression" dxfId="36" priority="44">
      <formula>$Z8&gt;1</formula>
    </cfRule>
  </conditionalFormatting>
  <conditionalFormatting sqref="Z45:Z47">
    <cfRule type="cellIs" dxfId="35" priority="41" operator="equal">
      <formula>"-"</formula>
    </cfRule>
    <cfRule type="expression" dxfId="34" priority="42">
      <formula>$Z45&gt;1</formula>
    </cfRule>
  </conditionalFormatting>
  <conditionalFormatting sqref="Z15">
    <cfRule type="cellIs" dxfId="33" priority="33" operator="equal">
      <formula>"-"</formula>
    </cfRule>
    <cfRule type="expression" dxfId="32" priority="34">
      <formula>$Z15&gt;1</formula>
    </cfRule>
  </conditionalFormatting>
  <conditionalFormatting sqref="Z12">
    <cfRule type="cellIs" dxfId="31" priority="31" operator="equal">
      <formula>"-"</formula>
    </cfRule>
    <cfRule type="expression" dxfId="30" priority="32">
      <formula>$Z12&gt;1</formula>
    </cfRule>
  </conditionalFormatting>
  <conditionalFormatting sqref="Z48">
    <cfRule type="cellIs" dxfId="29" priority="29" operator="equal">
      <formula>"-"</formula>
    </cfRule>
    <cfRule type="expression" dxfId="28" priority="30">
      <formula>$Z48&gt;1</formula>
    </cfRule>
  </conditionalFormatting>
  <conditionalFormatting sqref="Z43">
    <cfRule type="cellIs" dxfId="27" priority="27" operator="equal">
      <formula>"-"</formula>
    </cfRule>
    <cfRule type="expression" dxfId="26" priority="28">
      <formula>$Z43&gt;1</formula>
    </cfRule>
  </conditionalFormatting>
  <conditionalFormatting sqref="Z38">
    <cfRule type="cellIs" dxfId="25" priority="25" operator="equal">
      <formula>"-"</formula>
    </cfRule>
    <cfRule type="expression" dxfId="24" priority="26">
      <formula>$Z38&gt;1</formula>
    </cfRule>
  </conditionalFormatting>
  <conditionalFormatting sqref="Z33">
    <cfRule type="cellIs" dxfId="23" priority="23" operator="equal">
      <formula>"-"</formula>
    </cfRule>
    <cfRule type="expression" dxfId="22" priority="24">
      <formula>$Z33&gt;1</formula>
    </cfRule>
  </conditionalFormatting>
  <conditionalFormatting sqref="Z28">
    <cfRule type="cellIs" dxfId="21" priority="21" operator="equal">
      <formula>"-"</formula>
    </cfRule>
    <cfRule type="expression" dxfId="20" priority="22">
      <formula>$Z28&gt;1</formula>
    </cfRule>
  </conditionalFormatting>
  <conditionalFormatting sqref="Z23">
    <cfRule type="cellIs" dxfId="19" priority="19" operator="equal">
      <formula>"-"</formula>
    </cfRule>
    <cfRule type="expression" dxfId="18" priority="20">
      <formula>$Z23&gt;1</formula>
    </cfRule>
  </conditionalFormatting>
  <conditionalFormatting sqref="Z18">
    <cfRule type="cellIs" dxfId="17" priority="17" operator="equal">
      <formula>"-"</formula>
    </cfRule>
    <cfRule type="expression" dxfId="16" priority="18">
      <formula>$Z18&gt;1</formula>
    </cfRule>
  </conditionalFormatting>
  <conditionalFormatting sqref="Z49">
    <cfRule type="cellIs" dxfId="15" priority="15" operator="equal">
      <formula>"-"</formula>
    </cfRule>
    <cfRule type="expression" dxfId="14" priority="16">
      <formula>$Z49&gt;1</formula>
    </cfRule>
  </conditionalFormatting>
  <conditionalFormatting sqref="Z44">
    <cfRule type="cellIs" dxfId="13" priority="13" operator="equal">
      <formula>"-"</formula>
    </cfRule>
    <cfRule type="expression" dxfId="12" priority="14">
      <formula>$Z44&gt;1</formula>
    </cfRule>
  </conditionalFormatting>
  <conditionalFormatting sqref="Z39">
    <cfRule type="cellIs" dxfId="11" priority="11" operator="equal">
      <formula>"-"</formula>
    </cfRule>
    <cfRule type="expression" dxfId="10" priority="12">
      <formula>$Z39&gt;1</formula>
    </cfRule>
  </conditionalFormatting>
  <conditionalFormatting sqref="Z34">
    <cfRule type="cellIs" dxfId="9" priority="9" operator="equal">
      <formula>"-"</formula>
    </cfRule>
    <cfRule type="expression" dxfId="8" priority="10">
      <formula>$Z34&gt;1</formula>
    </cfRule>
  </conditionalFormatting>
  <conditionalFormatting sqref="Z29">
    <cfRule type="cellIs" dxfId="7" priority="7" operator="equal">
      <formula>"-"</formula>
    </cfRule>
    <cfRule type="expression" dxfId="6" priority="8">
      <formula>$Z29&gt;1</formula>
    </cfRule>
  </conditionalFormatting>
  <conditionalFormatting sqref="Z24">
    <cfRule type="cellIs" dxfId="5" priority="5" operator="equal">
      <formula>"-"</formula>
    </cfRule>
    <cfRule type="expression" dxfId="4" priority="6">
      <formula>$Z24&gt;1</formula>
    </cfRule>
  </conditionalFormatting>
  <conditionalFormatting sqref="Z19">
    <cfRule type="cellIs" dxfId="3" priority="3" operator="equal">
      <formula>"-"</formula>
    </cfRule>
    <cfRule type="expression" dxfId="2" priority="4">
      <formula>$Z19&gt;1</formula>
    </cfRule>
  </conditionalFormatting>
  <conditionalFormatting sqref="Z13">
    <cfRule type="cellIs" dxfId="1" priority="1" operator="equal">
      <formula>"-"</formula>
    </cfRule>
    <cfRule type="expression" dxfId="0" priority="2">
      <formula>$Z13&gt;1</formula>
    </cfRule>
  </conditionalFormatting>
  <pageMargins left="0.7" right="0.7" top="0.75" bottom="0.75" header="0.3" footer="0.3"/>
  <pageSetup paperSize="5" scale="54" orientation="landscape" r:id="rId1"/>
  <drawing r:id="rId2"/>
  <legacyDrawing r:id="rId3"/>
  <oleObjects>
    <mc:AlternateContent xmlns:mc="http://schemas.openxmlformats.org/markup-compatibility/2006">
      <mc:Choice Requires="x14">
        <oleObject progId="Equation.3" shapeId="30721" r:id="rId4">
          <objectPr defaultSize="0" autoPict="0" r:id="rId5">
            <anchor moveWithCells="1" sizeWithCells="1">
              <from>
                <xdr:col>3</xdr:col>
                <xdr:colOff>171450</xdr:colOff>
                <xdr:row>55</xdr:row>
                <xdr:rowOff>95250</xdr:rowOff>
              </from>
              <to>
                <xdr:col>5</xdr:col>
                <xdr:colOff>190500</xdr:colOff>
                <xdr:row>61</xdr:row>
                <xdr:rowOff>47625</xdr:rowOff>
              </to>
            </anchor>
          </objectPr>
        </oleObject>
      </mc:Choice>
      <mc:Fallback>
        <oleObject progId="Equation.3" shapeId="30721" r:id="rId4"/>
      </mc:Fallback>
    </mc:AlternateContent>
    <mc:AlternateContent xmlns:mc="http://schemas.openxmlformats.org/markup-compatibility/2006">
      <mc:Choice Requires="x14">
        <oleObject progId="Equation.3" shapeId="30722" r:id="rId6">
          <objectPr defaultSize="0" autoPict="0" r:id="rId7">
            <anchor moveWithCells="1" sizeWithCells="1">
              <from>
                <xdr:col>3</xdr:col>
                <xdr:colOff>628650</xdr:colOff>
                <xdr:row>68</xdr:row>
                <xdr:rowOff>95250</xdr:rowOff>
              </from>
              <to>
                <xdr:col>8</xdr:col>
                <xdr:colOff>762000</xdr:colOff>
                <xdr:row>72</xdr:row>
                <xdr:rowOff>152400</xdr:rowOff>
              </to>
            </anchor>
          </objectPr>
        </oleObject>
      </mc:Choice>
      <mc:Fallback>
        <oleObject progId="Equation.3" shapeId="30722" r:id="rId6"/>
      </mc:Fallback>
    </mc:AlternateContent>
    <mc:AlternateContent xmlns:mc="http://schemas.openxmlformats.org/markup-compatibility/2006">
      <mc:Choice Requires="x14">
        <oleObject progId="Equation.3" shapeId="30723" r:id="rId8">
          <objectPr defaultSize="0" autoPict="0" r:id="rId9">
            <anchor moveWithCells="1" sizeWithCells="1">
              <from>
                <xdr:col>5</xdr:col>
                <xdr:colOff>323850</xdr:colOff>
                <xdr:row>63</xdr:row>
                <xdr:rowOff>47625</xdr:rowOff>
              </from>
              <to>
                <xdr:col>7</xdr:col>
                <xdr:colOff>161925</xdr:colOff>
                <xdr:row>65</xdr:row>
                <xdr:rowOff>47625</xdr:rowOff>
              </to>
            </anchor>
          </objectPr>
        </oleObject>
      </mc:Choice>
      <mc:Fallback>
        <oleObject progId="Equation.3" shapeId="30723" r:id="rId8"/>
      </mc:Fallback>
    </mc:AlternateContent>
    <mc:AlternateContent xmlns:mc="http://schemas.openxmlformats.org/markup-compatibility/2006">
      <mc:Choice Requires="x14">
        <oleObject progId="Equation.3" shapeId="30724" r:id="rId10">
          <objectPr defaultSize="0" autoPict="0" r:id="rId11">
            <anchor moveWithCells="1" sizeWithCells="1">
              <from>
                <xdr:col>7</xdr:col>
                <xdr:colOff>695325</xdr:colOff>
                <xdr:row>63</xdr:row>
                <xdr:rowOff>57150</xdr:rowOff>
              </from>
              <to>
                <xdr:col>9</xdr:col>
                <xdr:colOff>876300</xdr:colOff>
                <xdr:row>65</xdr:row>
                <xdr:rowOff>142875</xdr:rowOff>
              </to>
            </anchor>
          </objectPr>
        </oleObject>
      </mc:Choice>
      <mc:Fallback>
        <oleObject progId="Equation.3" shapeId="30724" r:id="rId10"/>
      </mc:Fallback>
    </mc:AlternateContent>
    <mc:AlternateContent xmlns:mc="http://schemas.openxmlformats.org/markup-compatibility/2006">
      <mc:Choice Requires="x14">
        <oleObject progId="Equation.3" shapeId="30725" r:id="rId12">
          <objectPr defaultSize="0" autoPict="0" r:id="rId13">
            <anchor moveWithCells="1" sizeWithCells="1">
              <from>
                <xdr:col>9</xdr:col>
                <xdr:colOff>361950</xdr:colOff>
                <xdr:row>66</xdr:row>
                <xdr:rowOff>114300</xdr:rowOff>
              </from>
              <to>
                <xdr:col>11</xdr:col>
                <xdr:colOff>38100</xdr:colOff>
                <xdr:row>69</xdr:row>
                <xdr:rowOff>28575</xdr:rowOff>
              </to>
            </anchor>
          </objectPr>
        </oleObject>
      </mc:Choice>
      <mc:Fallback>
        <oleObject progId="Equation.3" shapeId="30725" r:id="rId12"/>
      </mc:Fallback>
    </mc:AlternateContent>
    <mc:AlternateContent xmlns:mc="http://schemas.openxmlformats.org/markup-compatibility/2006">
      <mc:Choice Requires="x14">
        <oleObject progId="Equation.3" shapeId="30726" r:id="rId14">
          <objectPr defaultSize="0" autoPict="0" r:id="rId15">
            <anchor moveWithCells="1" sizeWithCells="1">
              <from>
                <xdr:col>3</xdr:col>
                <xdr:colOff>152400</xdr:colOff>
                <xdr:row>50</xdr:row>
                <xdr:rowOff>47625</xdr:rowOff>
              </from>
              <to>
                <xdr:col>13</xdr:col>
                <xdr:colOff>161925</xdr:colOff>
                <xdr:row>55</xdr:row>
                <xdr:rowOff>47625</xdr:rowOff>
              </to>
            </anchor>
          </objectPr>
        </oleObject>
      </mc:Choice>
      <mc:Fallback>
        <oleObject progId="Equation.3" shapeId="30726" r:id="rId14"/>
      </mc:Fallback>
    </mc:AlternateContent>
    <mc:AlternateContent xmlns:mc="http://schemas.openxmlformats.org/markup-compatibility/2006">
      <mc:Choice Requires="x14">
        <oleObject progId="Equation.3" shapeId="30727" r:id="rId16">
          <objectPr defaultSize="0" autoPict="0" r:id="rId17">
            <anchor moveWithCells="1">
              <from>
                <xdr:col>7</xdr:col>
                <xdr:colOff>581025</xdr:colOff>
                <xdr:row>55</xdr:row>
                <xdr:rowOff>142875</xdr:rowOff>
              </from>
              <to>
                <xdr:col>11</xdr:col>
                <xdr:colOff>133350</xdr:colOff>
                <xdr:row>59</xdr:row>
                <xdr:rowOff>47625</xdr:rowOff>
              </to>
            </anchor>
          </objectPr>
        </oleObject>
      </mc:Choice>
      <mc:Fallback>
        <oleObject progId="Equation.3" shapeId="30727" r:id="rId16"/>
      </mc:Fallback>
    </mc:AlternateContent>
    <mc:AlternateContent xmlns:mc="http://schemas.openxmlformats.org/markup-compatibility/2006">
      <mc:Choice Requires="x14">
        <oleObject progId="Equation.3" shapeId="30728" r:id="rId18">
          <objectPr defaultSize="0" autoPict="0" r:id="rId19">
            <anchor moveWithCells="1">
              <from>
                <xdr:col>3</xdr:col>
                <xdr:colOff>714375</xdr:colOff>
                <xdr:row>76</xdr:row>
                <xdr:rowOff>9525</xdr:rowOff>
              </from>
              <to>
                <xdr:col>7</xdr:col>
                <xdr:colOff>247650</xdr:colOff>
                <xdr:row>79</xdr:row>
                <xdr:rowOff>19050</xdr:rowOff>
              </to>
            </anchor>
          </objectPr>
        </oleObject>
      </mc:Choice>
      <mc:Fallback>
        <oleObject progId="Equation.3" shapeId="30728" r:id="rId18"/>
      </mc:Fallback>
    </mc:AlternateContent>
  </oleObjects>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Select the MPE Classification" prompt="Select the MPE/tolerance classification from the list._x000a_The classifications shown are the only classes with tolerances for non-metric weights." xr:uid="{530AB369-A98F-4CC4-8A64-876603D66A06}">
          <x14:formula1>
            <xm:f>'MPE Table'!$O$55:$AC$55</xm:f>
          </x14:formula1>
          <xm:sqref>A5:B5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225C7-6151-4FD7-B4D5-F258630DA00F}">
  <dimension ref="B2:T29"/>
  <sheetViews>
    <sheetView zoomScaleNormal="100" workbookViewId="0"/>
  </sheetViews>
  <sheetFormatPr defaultRowHeight="15" x14ac:dyDescent="0.25"/>
  <cols>
    <col min="7" max="7" width="9.5703125" bestFit="1" customWidth="1"/>
    <col min="8" max="8" width="10" bestFit="1" customWidth="1"/>
    <col min="10" max="10" width="31.28515625" customWidth="1"/>
    <col min="11" max="12" width="13.7109375" customWidth="1"/>
  </cols>
  <sheetData>
    <row r="2" spans="2:20" ht="16.5" thickBot="1" x14ac:dyDescent="0.3">
      <c r="B2" s="149" t="s">
        <v>155</v>
      </c>
      <c r="J2" s="149" t="s">
        <v>151</v>
      </c>
    </row>
    <row r="3" spans="2:20" ht="16.5" thickTop="1" x14ac:dyDescent="0.25">
      <c r="B3" s="150" t="s">
        <v>137</v>
      </c>
      <c r="C3" s="151"/>
      <c r="D3" s="151"/>
      <c r="E3" s="151"/>
      <c r="F3" s="151"/>
      <c r="G3" s="152"/>
      <c r="T3" s="145"/>
    </row>
    <row r="4" spans="2:20" x14ac:dyDescent="0.25">
      <c r="B4" s="153" t="s">
        <v>138</v>
      </c>
      <c r="C4" s="154"/>
      <c r="D4" s="154"/>
      <c r="E4" s="154"/>
      <c r="F4" s="154"/>
      <c r="G4" s="155"/>
    </row>
    <row r="5" spans="2:20" ht="45" x14ac:dyDescent="0.25">
      <c r="B5" s="153" t="s">
        <v>139</v>
      </c>
      <c r="C5" s="154"/>
      <c r="D5" s="154"/>
      <c r="E5" s="154"/>
      <c r="F5" s="154"/>
      <c r="G5" s="155"/>
      <c r="J5" s="147"/>
      <c r="K5" s="148" t="s">
        <v>175</v>
      </c>
    </row>
    <row r="6" spans="2:20" ht="15" customHeight="1" x14ac:dyDescent="0.25">
      <c r="B6" s="153"/>
      <c r="C6" s="154"/>
      <c r="D6" s="154"/>
      <c r="E6" s="154"/>
      <c r="F6" s="154"/>
      <c r="G6" s="155"/>
      <c r="K6" s="146"/>
    </row>
    <row r="7" spans="2:20" ht="15.75" x14ac:dyDescent="0.25">
      <c r="B7" s="153" t="s">
        <v>163</v>
      </c>
      <c r="C7" s="154"/>
      <c r="D7" s="154"/>
      <c r="E7" s="154"/>
      <c r="F7" s="154"/>
      <c r="G7" s="155"/>
      <c r="I7" s="149" t="s">
        <v>140</v>
      </c>
      <c r="K7" s="160">
        <v>999.85167000000001</v>
      </c>
    </row>
    <row r="8" spans="2:20" ht="15.75" x14ac:dyDescent="0.25">
      <c r="B8" s="153" t="s">
        <v>164</v>
      </c>
      <c r="C8" s="154"/>
      <c r="D8" s="154"/>
      <c r="E8" s="154"/>
      <c r="F8" s="154"/>
      <c r="G8" s="155"/>
      <c r="I8" s="149" t="s">
        <v>141</v>
      </c>
      <c r="K8" s="160">
        <v>1000.85253</v>
      </c>
    </row>
    <row r="9" spans="2:20" ht="15.75" x14ac:dyDescent="0.25">
      <c r="B9" s="153" t="s">
        <v>165</v>
      </c>
      <c r="C9" s="154"/>
      <c r="D9" s="154"/>
      <c r="E9" s="154"/>
      <c r="F9" s="154"/>
      <c r="G9" s="155"/>
      <c r="I9" s="149" t="s">
        <v>142</v>
      </c>
      <c r="K9" s="160">
        <v>998.35414000000003</v>
      </c>
    </row>
    <row r="10" spans="2:20" ht="15.75" x14ac:dyDescent="0.25">
      <c r="B10" s="153" t="s">
        <v>166</v>
      </c>
      <c r="C10" s="154"/>
      <c r="D10" s="154"/>
      <c r="E10" s="154"/>
      <c r="F10" s="154"/>
      <c r="G10" s="155"/>
      <c r="I10" s="149" t="s">
        <v>143</v>
      </c>
      <c r="K10" s="160">
        <v>1001.3537</v>
      </c>
    </row>
    <row r="11" spans="2:20" ht="15.75" x14ac:dyDescent="0.25">
      <c r="B11" s="153" t="s">
        <v>167</v>
      </c>
      <c r="C11" s="154"/>
      <c r="D11" s="154"/>
      <c r="E11" s="154"/>
      <c r="F11" s="154"/>
      <c r="G11" s="155"/>
      <c r="I11" s="149" t="s">
        <v>144</v>
      </c>
      <c r="K11" s="160">
        <v>996.36440000000005</v>
      </c>
    </row>
    <row r="12" spans="2:20" ht="15.75" x14ac:dyDescent="0.25">
      <c r="B12" s="153" t="s">
        <v>168</v>
      </c>
      <c r="C12" s="154"/>
      <c r="D12" s="154"/>
      <c r="E12" s="154"/>
      <c r="F12" s="154"/>
      <c r="G12" s="155"/>
      <c r="I12" s="149" t="s">
        <v>145</v>
      </c>
      <c r="K12" s="160">
        <v>1000.85253</v>
      </c>
    </row>
    <row r="13" spans="2:20" ht="15.75" x14ac:dyDescent="0.25">
      <c r="B13" s="153" t="s">
        <v>169</v>
      </c>
      <c r="C13" s="154"/>
      <c r="D13" s="154"/>
      <c r="E13" s="154"/>
      <c r="F13" s="154"/>
      <c r="G13" s="155"/>
      <c r="I13" s="149" t="s">
        <v>146</v>
      </c>
      <c r="K13" s="160"/>
    </row>
    <row r="14" spans="2:20" ht="15.75" x14ac:dyDescent="0.25">
      <c r="B14" s="153" t="s">
        <v>170</v>
      </c>
      <c r="C14" s="154"/>
      <c r="D14" s="154"/>
      <c r="E14" s="154"/>
      <c r="F14" s="154"/>
      <c r="G14" s="155"/>
      <c r="I14" s="149" t="s">
        <v>147</v>
      </c>
      <c r="K14" s="160"/>
    </row>
    <row r="15" spans="2:20" ht="15.75" x14ac:dyDescent="0.25">
      <c r="B15" s="153" t="s">
        <v>171</v>
      </c>
      <c r="C15" s="154"/>
      <c r="D15" s="154"/>
      <c r="E15" s="154"/>
      <c r="F15" s="154"/>
      <c r="G15" s="155"/>
      <c r="I15" s="149" t="s">
        <v>148</v>
      </c>
      <c r="K15" s="160"/>
    </row>
    <row r="16" spans="2:20" ht="15.75" x14ac:dyDescent="0.25">
      <c r="B16" s="153" t="s">
        <v>172</v>
      </c>
      <c r="C16" s="154"/>
      <c r="D16" s="154"/>
      <c r="E16" s="154"/>
      <c r="F16" s="154"/>
      <c r="G16" s="155"/>
      <c r="I16" s="149" t="s">
        <v>149</v>
      </c>
      <c r="K16" s="160"/>
    </row>
    <row r="17" spans="2:12" ht="15.75" x14ac:dyDescent="0.25">
      <c r="B17" s="153" t="s">
        <v>173</v>
      </c>
      <c r="C17" s="154"/>
      <c r="D17" s="154"/>
      <c r="E17" s="154"/>
      <c r="F17" s="154"/>
      <c r="G17" s="155"/>
      <c r="I17" s="149" t="s">
        <v>150</v>
      </c>
      <c r="K17" s="160"/>
    </row>
    <row r="18" spans="2:12" ht="15.75" x14ac:dyDescent="0.25">
      <c r="B18" s="153"/>
      <c r="C18" s="154"/>
      <c r="D18" s="154"/>
      <c r="E18" s="154"/>
      <c r="F18" s="154"/>
      <c r="G18" s="155"/>
      <c r="I18" s="149" t="s">
        <v>133</v>
      </c>
      <c r="K18" s="160"/>
    </row>
    <row r="19" spans="2:12" ht="15.75" x14ac:dyDescent="0.25">
      <c r="B19" s="153"/>
      <c r="C19" s="154"/>
      <c r="D19" s="154"/>
      <c r="E19" s="154"/>
      <c r="F19" s="154"/>
      <c r="G19" s="155"/>
      <c r="I19" s="149" t="s">
        <v>134</v>
      </c>
      <c r="K19" s="160"/>
    </row>
    <row r="20" spans="2:12" ht="15.75" x14ac:dyDescent="0.25">
      <c r="B20" s="153"/>
      <c r="C20" s="154"/>
      <c r="D20" s="154"/>
      <c r="E20" s="154"/>
      <c r="F20" s="154"/>
      <c r="G20" s="155"/>
      <c r="I20" s="149" t="s">
        <v>135</v>
      </c>
      <c r="K20" s="160"/>
    </row>
    <row r="21" spans="2:12" ht="15.75" x14ac:dyDescent="0.25">
      <c r="B21" s="153"/>
      <c r="C21" s="154"/>
      <c r="D21" s="181"/>
      <c r="E21" s="154"/>
      <c r="F21" s="154"/>
      <c r="G21" s="155"/>
      <c r="I21" s="149" t="s">
        <v>136</v>
      </c>
      <c r="K21" s="160"/>
    </row>
    <row r="22" spans="2:12" ht="15.75" x14ac:dyDescent="0.25">
      <c r="B22" s="153"/>
      <c r="C22" s="154"/>
      <c r="D22" s="154"/>
      <c r="E22" s="154"/>
      <c r="F22" s="154"/>
      <c r="G22" s="155"/>
      <c r="I22" s="149" t="s">
        <v>176</v>
      </c>
      <c r="K22" s="160"/>
    </row>
    <row r="23" spans="2:12" ht="15.75" x14ac:dyDescent="0.25">
      <c r="B23" s="153"/>
      <c r="C23" s="154"/>
      <c r="D23" s="154"/>
      <c r="E23" s="154"/>
      <c r="F23" s="154"/>
      <c r="G23" s="155"/>
      <c r="I23" s="149" t="s">
        <v>177</v>
      </c>
      <c r="K23" s="160"/>
    </row>
    <row r="24" spans="2:12" ht="15.75" thickBot="1" x14ac:dyDescent="0.3">
      <c r="B24" s="156"/>
      <c r="C24" s="157"/>
      <c r="D24" s="157"/>
      <c r="E24" s="157"/>
      <c r="F24" s="157"/>
      <c r="G24" s="158"/>
    </row>
    <row r="25" spans="2:12" ht="48" thickTop="1" x14ac:dyDescent="0.25">
      <c r="J25" s="159" t="s">
        <v>152</v>
      </c>
      <c r="K25" s="159" t="s">
        <v>153</v>
      </c>
      <c r="L25" s="159" t="s">
        <v>154</v>
      </c>
    </row>
    <row r="26" spans="2:12" ht="15.75" x14ac:dyDescent="0.25">
      <c r="J26" s="167">
        <f>AVERAGE(K7:K23)</f>
        <v>999.60482833333344</v>
      </c>
      <c r="K26" s="165">
        <f>MAX(K7:K21)</f>
        <v>1001.3537</v>
      </c>
      <c r="L26" s="165">
        <f>MIN(K7:K21)</f>
        <v>996.36440000000005</v>
      </c>
    </row>
    <row r="29" spans="2:12" x14ac:dyDescent="0.25">
      <c r="L29" s="164"/>
    </row>
  </sheetData>
  <sheetProtection password="FFED" sheet="1" objects="1" scenarios="1" formatCells="0" formatColumns="0" formatRows="0"/>
  <phoneticPr fontId="35" type="noConversion"/>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F100"/>
  <sheetViews>
    <sheetView zoomScaleNormal="100" workbookViewId="0">
      <selection sqref="A1:W1"/>
    </sheetView>
  </sheetViews>
  <sheetFormatPr defaultColWidth="9.140625" defaultRowHeight="15" x14ac:dyDescent="0.25"/>
  <cols>
    <col min="1" max="1" width="9" style="3" bestFit="1" customWidth="1"/>
    <col min="2" max="2" width="6.140625" style="54" bestFit="1" customWidth="1"/>
    <col min="3" max="3" width="10.7109375" style="3" bestFit="1" customWidth="1"/>
    <col min="4" max="4" width="12.7109375" style="3" customWidth="1"/>
    <col min="5" max="7" width="9" style="3" customWidth="1"/>
    <col min="8" max="8" width="9.42578125" style="3" customWidth="1"/>
    <col min="9" max="9" width="10.85546875" style="3" customWidth="1"/>
    <col min="10" max="10" width="9.42578125" style="3" customWidth="1"/>
    <col min="11" max="11" width="10.85546875" style="3" customWidth="1"/>
    <col min="12" max="12" width="9.42578125" style="3" customWidth="1"/>
    <col min="13" max="13" width="11" style="3" customWidth="1"/>
    <col min="14" max="14" width="9.7109375" style="3" customWidth="1"/>
    <col min="15" max="22" width="8.42578125" style="3" bestFit="1" customWidth="1"/>
    <col min="23" max="23" width="24" style="3" bestFit="1" customWidth="1"/>
    <col min="24" max="28" width="6.7109375" style="1" bestFit="1" customWidth="1"/>
    <col min="29" max="29" width="11.42578125" style="1" bestFit="1" customWidth="1"/>
    <col min="30" max="16384" width="9.140625" style="1"/>
  </cols>
  <sheetData>
    <row r="1" spans="1:32" s="3" customFormat="1" ht="21" customHeight="1" thickTop="1" thickBot="1" x14ac:dyDescent="0.25">
      <c r="A1" s="208" t="s">
        <v>17</v>
      </c>
      <c r="B1" s="209"/>
      <c r="C1" s="209"/>
      <c r="D1" s="209"/>
      <c r="E1" s="209"/>
      <c r="F1" s="209"/>
      <c r="G1" s="209"/>
      <c r="H1" s="209"/>
      <c r="I1" s="209"/>
      <c r="J1" s="209"/>
      <c r="K1" s="209"/>
      <c r="L1" s="209"/>
      <c r="M1" s="209"/>
      <c r="N1" s="209"/>
      <c r="O1" s="209"/>
      <c r="P1" s="209"/>
      <c r="Q1" s="209"/>
      <c r="R1" s="209"/>
      <c r="S1" s="209"/>
      <c r="T1" s="209"/>
      <c r="U1" s="209"/>
      <c r="V1" s="209"/>
      <c r="W1" s="210"/>
      <c r="X1" s="2"/>
      <c r="Y1" s="2"/>
      <c r="Z1" s="2"/>
      <c r="AA1" s="2"/>
      <c r="AB1" s="2"/>
      <c r="AC1" s="2"/>
    </row>
    <row r="2" spans="1:32" s="3" customFormat="1" ht="12" customHeight="1" thickTop="1" x14ac:dyDescent="0.2">
      <c r="A2" s="4"/>
      <c r="B2" s="5"/>
      <c r="C2" s="6"/>
      <c r="D2" s="211" t="s">
        <v>127</v>
      </c>
      <c r="E2" s="212"/>
      <c r="F2" s="212"/>
      <c r="G2" s="212"/>
      <c r="H2" s="212"/>
      <c r="I2" s="212"/>
      <c r="J2" s="212"/>
      <c r="K2" s="212"/>
      <c r="L2" s="213"/>
      <c r="M2" s="214" t="s">
        <v>128</v>
      </c>
      <c r="N2" s="214"/>
      <c r="O2" s="214"/>
      <c r="P2" s="214"/>
      <c r="Q2" s="214"/>
      <c r="R2" s="214"/>
      <c r="S2" s="214"/>
      <c r="T2" s="214"/>
      <c r="U2" s="214"/>
      <c r="V2" s="215"/>
      <c r="W2" s="7" t="s">
        <v>129</v>
      </c>
      <c r="X2" s="194" t="s">
        <v>20</v>
      </c>
      <c r="Y2" s="195"/>
      <c r="Z2" s="195"/>
      <c r="AA2" s="195"/>
      <c r="AB2" s="195"/>
      <c r="AC2" s="8"/>
      <c r="AF2" s="15"/>
    </row>
    <row r="3" spans="1:32" s="15" customFormat="1" ht="23.25" thickBot="1" x14ac:dyDescent="0.25">
      <c r="A3" s="9" t="s">
        <v>3</v>
      </c>
      <c r="B3" s="10" t="s">
        <v>21</v>
      </c>
      <c r="C3" s="10" t="s">
        <v>22</v>
      </c>
      <c r="D3" s="11" t="s">
        <v>77</v>
      </c>
      <c r="E3" s="11" t="s">
        <v>78</v>
      </c>
      <c r="F3" s="11" t="s">
        <v>79</v>
      </c>
      <c r="G3" s="11" t="s">
        <v>80</v>
      </c>
      <c r="H3" s="11" t="s">
        <v>81</v>
      </c>
      <c r="I3" s="11" t="s">
        <v>82</v>
      </c>
      <c r="J3" s="11" t="s">
        <v>83</v>
      </c>
      <c r="K3" s="11" t="s">
        <v>84</v>
      </c>
      <c r="L3" s="11" t="s">
        <v>85</v>
      </c>
      <c r="M3" s="60" t="s">
        <v>86</v>
      </c>
      <c r="N3" s="60" t="s">
        <v>87</v>
      </c>
      <c r="O3" s="61" t="s">
        <v>88</v>
      </c>
      <c r="P3" s="61" t="s">
        <v>89</v>
      </c>
      <c r="Q3" s="61" t="s">
        <v>90</v>
      </c>
      <c r="R3" s="61" t="s">
        <v>91</v>
      </c>
      <c r="S3" s="61" t="s">
        <v>92</v>
      </c>
      <c r="T3" s="61" t="s">
        <v>93</v>
      </c>
      <c r="U3" s="61" t="s">
        <v>94</v>
      </c>
      <c r="V3" s="61" t="s">
        <v>95</v>
      </c>
      <c r="W3" s="62" t="s">
        <v>96</v>
      </c>
      <c r="X3" s="12" t="s">
        <v>97</v>
      </c>
      <c r="Y3" s="13" t="s">
        <v>98</v>
      </c>
      <c r="Z3" s="13" t="s">
        <v>99</v>
      </c>
      <c r="AA3" s="13" t="s">
        <v>100</v>
      </c>
      <c r="AB3" s="13" t="s">
        <v>101</v>
      </c>
      <c r="AC3" s="14" t="s">
        <v>23</v>
      </c>
      <c r="AF3" s="3"/>
    </row>
    <row r="4" spans="1:32" s="3" customFormat="1" ht="12.75" thickTop="1" x14ac:dyDescent="0.2">
      <c r="A4" s="16"/>
      <c r="B4" s="17"/>
      <c r="C4" s="18"/>
      <c r="D4" s="19">
        <v>1</v>
      </c>
      <c r="E4" s="19">
        <v>2</v>
      </c>
      <c r="F4" s="19">
        <v>3</v>
      </c>
      <c r="G4" s="19">
        <v>4</v>
      </c>
      <c r="H4" s="19">
        <v>5</v>
      </c>
      <c r="I4" s="19">
        <v>6</v>
      </c>
      <c r="J4" s="19">
        <v>7</v>
      </c>
      <c r="K4" s="19">
        <v>8</v>
      </c>
      <c r="L4" s="19">
        <v>9</v>
      </c>
      <c r="M4" s="19">
        <v>10</v>
      </c>
      <c r="N4" s="19">
        <v>11</v>
      </c>
      <c r="O4" s="19">
        <v>12</v>
      </c>
      <c r="P4" s="19">
        <v>13</v>
      </c>
      <c r="Q4" s="19">
        <v>14</v>
      </c>
      <c r="R4" s="19">
        <v>15</v>
      </c>
      <c r="S4" s="19">
        <v>16</v>
      </c>
      <c r="T4" s="19">
        <v>17</v>
      </c>
      <c r="U4" s="19">
        <v>18</v>
      </c>
      <c r="V4" s="19">
        <v>19</v>
      </c>
      <c r="W4" s="20">
        <v>20</v>
      </c>
      <c r="X4" s="21">
        <v>21</v>
      </c>
      <c r="Y4" s="19">
        <v>22</v>
      </c>
      <c r="Z4" s="19">
        <v>23</v>
      </c>
      <c r="AA4" s="19">
        <v>24</v>
      </c>
      <c r="AB4" s="19">
        <v>25</v>
      </c>
      <c r="AC4" s="20">
        <v>26</v>
      </c>
    </row>
    <row r="5" spans="1:32" s="3" customFormat="1" ht="12" x14ac:dyDescent="0.2">
      <c r="A5" s="22" t="s">
        <v>24</v>
      </c>
      <c r="B5" s="23" t="s">
        <v>25</v>
      </c>
      <c r="C5" s="24">
        <v>5000000</v>
      </c>
      <c r="D5" s="25" t="s">
        <v>75</v>
      </c>
      <c r="E5" s="25" t="s">
        <v>75</v>
      </c>
      <c r="F5" s="26">
        <v>25000</v>
      </c>
      <c r="G5" s="26">
        <v>80000</v>
      </c>
      <c r="H5" s="26">
        <v>250000</v>
      </c>
      <c r="I5" s="26">
        <v>500000</v>
      </c>
      <c r="J5" s="26">
        <v>800000</v>
      </c>
      <c r="K5" s="26">
        <v>1600000</v>
      </c>
      <c r="L5" s="26">
        <v>2500000</v>
      </c>
      <c r="M5" s="27" t="s">
        <v>75</v>
      </c>
      <c r="N5" s="27" t="s">
        <v>75</v>
      </c>
      <c r="O5" s="27" t="s">
        <v>75</v>
      </c>
      <c r="P5" s="27" t="s">
        <v>75</v>
      </c>
      <c r="Q5" s="28">
        <v>25000</v>
      </c>
      <c r="R5" s="28">
        <v>50000</v>
      </c>
      <c r="S5" s="28">
        <v>100000</v>
      </c>
      <c r="T5" s="28">
        <v>250000</v>
      </c>
      <c r="U5" s="28">
        <v>500000</v>
      </c>
      <c r="V5" s="28">
        <v>750000</v>
      </c>
      <c r="W5" s="29">
        <v>500000</v>
      </c>
      <c r="X5" s="171" t="s">
        <v>75</v>
      </c>
      <c r="Y5" s="172" t="s">
        <v>75</v>
      </c>
      <c r="Z5" s="172" t="s">
        <v>75</v>
      </c>
      <c r="AA5" s="172" t="s">
        <v>75</v>
      </c>
      <c r="AB5" s="172" t="s">
        <v>75</v>
      </c>
      <c r="AC5" s="173" t="s">
        <v>75</v>
      </c>
    </row>
    <row r="6" spans="1:32" s="3" customFormat="1" ht="12" x14ac:dyDescent="0.2">
      <c r="A6" s="30" t="s">
        <v>26</v>
      </c>
      <c r="B6" s="23" t="s">
        <v>25</v>
      </c>
      <c r="C6" s="31">
        <v>3000000</v>
      </c>
      <c r="D6" s="32" t="s">
        <v>75</v>
      </c>
      <c r="E6" s="32" t="s">
        <v>75</v>
      </c>
      <c r="F6" s="32" t="s">
        <v>75</v>
      </c>
      <c r="G6" s="32" t="s">
        <v>75</v>
      </c>
      <c r="H6" s="32" t="s">
        <v>75</v>
      </c>
      <c r="I6" s="32" t="s">
        <v>75</v>
      </c>
      <c r="J6" s="32" t="s">
        <v>75</v>
      </c>
      <c r="K6" s="32" t="s">
        <v>75</v>
      </c>
      <c r="L6" s="32" t="s">
        <v>75</v>
      </c>
      <c r="M6" s="33" t="s">
        <v>75</v>
      </c>
      <c r="N6" s="33" t="s">
        <v>75</v>
      </c>
      <c r="O6" s="33" t="s">
        <v>75</v>
      </c>
      <c r="P6" s="33" t="s">
        <v>75</v>
      </c>
      <c r="Q6" s="34">
        <v>15000</v>
      </c>
      <c r="R6" s="34">
        <v>30000</v>
      </c>
      <c r="S6" s="34">
        <v>60000</v>
      </c>
      <c r="T6" s="34">
        <v>150000</v>
      </c>
      <c r="U6" s="34">
        <v>300000</v>
      </c>
      <c r="V6" s="34">
        <v>450000</v>
      </c>
      <c r="W6" s="35">
        <v>300000</v>
      </c>
      <c r="X6" s="174" t="s">
        <v>75</v>
      </c>
      <c r="Y6" s="175" t="s">
        <v>75</v>
      </c>
      <c r="Z6" s="175" t="s">
        <v>75</v>
      </c>
      <c r="AA6" s="175" t="s">
        <v>75</v>
      </c>
      <c r="AB6" s="175" t="s">
        <v>75</v>
      </c>
      <c r="AC6" s="176" t="s">
        <v>75</v>
      </c>
    </row>
    <row r="7" spans="1:32" s="3" customFormat="1" ht="12" x14ac:dyDescent="0.2">
      <c r="A7" s="36" t="s">
        <v>27</v>
      </c>
      <c r="B7" s="23" t="s">
        <v>25</v>
      </c>
      <c r="C7" s="37">
        <v>2000000</v>
      </c>
      <c r="D7" s="32" t="s">
        <v>75</v>
      </c>
      <c r="E7" s="32" t="s">
        <v>75</v>
      </c>
      <c r="F7" s="38">
        <v>10000</v>
      </c>
      <c r="G7" s="38">
        <v>30000</v>
      </c>
      <c r="H7" s="38">
        <v>100000</v>
      </c>
      <c r="I7" s="38">
        <v>200000</v>
      </c>
      <c r="J7" s="38">
        <v>300000</v>
      </c>
      <c r="K7" s="38">
        <v>600000</v>
      </c>
      <c r="L7" s="38">
        <v>1000000</v>
      </c>
      <c r="M7" s="33" t="s">
        <v>75</v>
      </c>
      <c r="N7" s="33" t="s">
        <v>75</v>
      </c>
      <c r="O7" s="33" t="s">
        <v>75</v>
      </c>
      <c r="P7" s="33" t="s">
        <v>75</v>
      </c>
      <c r="Q7" s="34">
        <v>10000</v>
      </c>
      <c r="R7" s="34">
        <v>20000</v>
      </c>
      <c r="S7" s="34">
        <v>40000</v>
      </c>
      <c r="T7" s="34">
        <v>100000</v>
      </c>
      <c r="U7" s="34">
        <v>200000</v>
      </c>
      <c r="V7" s="34">
        <v>300000</v>
      </c>
      <c r="W7" s="35">
        <v>200000</v>
      </c>
      <c r="X7" s="174" t="s">
        <v>75</v>
      </c>
      <c r="Y7" s="175" t="s">
        <v>75</v>
      </c>
      <c r="Z7" s="175" t="s">
        <v>75</v>
      </c>
      <c r="AA7" s="175" t="s">
        <v>75</v>
      </c>
      <c r="AB7" s="175" t="s">
        <v>75</v>
      </c>
      <c r="AC7" s="176" t="s">
        <v>75</v>
      </c>
    </row>
    <row r="8" spans="1:32" s="3" customFormat="1" ht="12" x14ac:dyDescent="0.2">
      <c r="A8" s="36" t="s">
        <v>28</v>
      </c>
      <c r="B8" s="23" t="s">
        <v>25</v>
      </c>
      <c r="C8" s="37">
        <v>1000000</v>
      </c>
      <c r="D8" s="32" t="s">
        <v>75</v>
      </c>
      <c r="E8" s="38">
        <v>1600</v>
      </c>
      <c r="F8" s="38">
        <v>5000</v>
      </c>
      <c r="G8" s="38">
        <v>16000</v>
      </c>
      <c r="H8" s="38">
        <v>50000</v>
      </c>
      <c r="I8" s="38">
        <v>100000</v>
      </c>
      <c r="J8" s="38">
        <v>160000</v>
      </c>
      <c r="K8" s="38">
        <v>300000</v>
      </c>
      <c r="L8" s="38">
        <v>500000</v>
      </c>
      <c r="M8" s="33" t="s">
        <v>75</v>
      </c>
      <c r="N8" s="33" t="s">
        <v>75</v>
      </c>
      <c r="O8" s="33" t="s">
        <v>75</v>
      </c>
      <c r="P8" s="33" t="s">
        <v>75</v>
      </c>
      <c r="Q8" s="34">
        <v>5000</v>
      </c>
      <c r="R8" s="34">
        <v>10000</v>
      </c>
      <c r="S8" s="34">
        <v>20000</v>
      </c>
      <c r="T8" s="34">
        <v>50000</v>
      </c>
      <c r="U8" s="34">
        <v>100000</v>
      </c>
      <c r="V8" s="34">
        <v>150000</v>
      </c>
      <c r="W8" s="35">
        <v>100000</v>
      </c>
      <c r="X8" s="174" t="s">
        <v>75</v>
      </c>
      <c r="Y8" s="175" t="s">
        <v>75</v>
      </c>
      <c r="Z8" s="175" t="s">
        <v>75</v>
      </c>
      <c r="AA8" s="175" t="s">
        <v>75</v>
      </c>
      <c r="AB8" s="175" t="s">
        <v>75</v>
      </c>
      <c r="AC8" s="176" t="s">
        <v>75</v>
      </c>
    </row>
    <row r="9" spans="1:32" s="3" customFormat="1" ht="12" x14ac:dyDescent="0.2">
      <c r="A9" s="36">
        <v>500</v>
      </c>
      <c r="B9" s="23" t="s">
        <v>25</v>
      </c>
      <c r="C9" s="37">
        <v>500000</v>
      </c>
      <c r="D9" s="32" t="s">
        <v>75</v>
      </c>
      <c r="E9" s="38">
        <v>800</v>
      </c>
      <c r="F9" s="38">
        <v>2500</v>
      </c>
      <c r="G9" s="38">
        <v>8000</v>
      </c>
      <c r="H9" s="38">
        <v>25000</v>
      </c>
      <c r="I9" s="38">
        <v>50000</v>
      </c>
      <c r="J9" s="38">
        <v>80000</v>
      </c>
      <c r="K9" s="38">
        <v>160000</v>
      </c>
      <c r="L9" s="38">
        <v>250000</v>
      </c>
      <c r="M9" s="33" t="s">
        <v>75</v>
      </c>
      <c r="N9" s="33" t="s">
        <v>75</v>
      </c>
      <c r="O9" s="33" t="s">
        <v>75</v>
      </c>
      <c r="P9" s="33" t="s">
        <v>75</v>
      </c>
      <c r="Q9" s="34">
        <v>2500</v>
      </c>
      <c r="R9" s="34">
        <v>5000</v>
      </c>
      <c r="S9" s="34">
        <v>10000</v>
      </c>
      <c r="T9" s="34">
        <v>25000</v>
      </c>
      <c r="U9" s="34">
        <v>50000</v>
      </c>
      <c r="V9" s="34">
        <v>75000</v>
      </c>
      <c r="W9" s="35">
        <v>50000</v>
      </c>
      <c r="X9" s="174" t="s">
        <v>75</v>
      </c>
      <c r="Y9" s="175" t="s">
        <v>75</v>
      </c>
      <c r="Z9" s="175" t="s">
        <v>75</v>
      </c>
      <c r="AA9" s="175" t="s">
        <v>75</v>
      </c>
      <c r="AB9" s="175" t="s">
        <v>75</v>
      </c>
      <c r="AC9" s="176" t="s">
        <v>75</v>
      </c>
    </row>
    <row r="10" spans="1:32" s="3" customFormat="1" ht="12" x14ac:dyDescent="0.2">
      <c r="A10" s="30">
        <v>300</v>
      </c>
      <c r="B10" s="23" t="s">
        <v>25</v>
      </c>
      <c r="C10" s="31">
        <v>300000</v>
      </c>
      <c r="D10" s="32" t="s">
        <v>75</v>
      </c>
      <c r="E10" s="32" t="s">
        <v>75</v>
      </c>
      <c r="F10" s="32" t="s">
        <v>75</v>
      </c>
      <c r="G10" s="32" t="s">
        <v>75</v>
      </c>
      <c r="H10" s="32" t="s">
        <v>75</v>
      </c>
      <c r="I10" s="32" t="s">
        <v>75</v>
      </c>
      <c r="J10" s="32" t="s">
        <v>75</v>
      </c>
      <c r="K10" s="32" t="s">
        <v>75</v>
      </c>
      <c r="L10" s="32" t="s">
        <v>75</v>
      </c>
      <c r="M10" s="33" t="s">
        <v>75</v>
      </c>
      <c r="N10" s="33" t="s">
        <v>75</v>
      </c>
      <c r="O10" s="33" t="s">
        <v>75</v>
      </c>
      <c r="P10" s="33" t="s">
        <v>75</v>
      </c>
      <c r="Q10" s="34">
        <v>1500</v>
      </c>
      <c r="R10" s="34">
        <v>3000</v>
      </c>
      <c r="S10" s="34">
        <v>6000</v>
      </c>
      <c r="T10" s="34">
        <v>15000</v>
      </c>
      <c r="U10" s="34">
        <v>30000</v>
      </c>
      <c r="V10" s="34">
        <v>45000</v>
      </c>
      <c r="W10" s="35">
        <v>30000</v>
      </c>
      <c r="X10" s="174" t="s">
        <v>75</v>
      </c>
      <c r="Y10" s="175" t="s">
        <v>75</v>
      </c>
      <c r="Z10" s="175" t="s">
        <v>75</v>
      </c>
      <c r="AA10" s="175" t="s">
        <v>75</v>
      </c>
      <c r="AB10" s="175" t="s">
        <v>75</v>
      </c>
      <c r="AC10" s="176" t="s">
        <v>75</v>
      </c>
    </row>
    <row r="11" spans="1:32" s="3" customFormat="1" ht="12" x14ac:dyDescent="0.2">
      <c r="A11" s="36">
        <v>200</v>
      </c>
      <c r="B11" s="23" t="s">
        <v>25</v>
      </c>
      <c r="C11" s="37">
        <v>200000</v>
      </c>
      <c r="D11" s="32" t="s">
        <v>75</v>
      </c>
      <c r="E11" s="38">
        <v>300</v>
      </c>
      <c r="F11" s="38">
        <v>1000</v>
      </c>
      <c r="G11" s="38">
        <v>3000</v>
      </c>
      <c r="H11" s="38">
        <v>10000</v>
      </c>
      <c r="I11" s="38">
        <v>20000</v>
      </c>
      <c r="J11" s="38">
        <v>30000</v>
      </c>
      <c r="K11" s="38">
        <v>60000</v>
      </c>
      <c r="L11" s="38">
        <v>100000</v>
      </c>
      <c r="M11" s="33" t="s">
        <v>75</v>
      </c>
      <c r="N11" s="33" t="s">
        <v>75</v>
      </c>
      <c r="O11" s="33" t="s">
        <v>75</v>
      </c>
      <c r="P11" s="33" t="s">
        <v>75</v>
      </c>
      <c r="Q11" s="34">
        <v>1000</v>
      </c>
      <c r="R11" s="34">
        <v>2000</v>
      </c>
      <c r="S11" s="34">
        <v>4000</v>
      </c>
      <c r="T11" s="34">
        <v>10000</v>
      </c>
      <c r="U11" s="34">
        <v>20000</v>
      </c>
      <c r="V11" s="34">
        <v>30000</v>
      </c>
      <c r="W11" s="35">
        <v>20000</v>
      </c>
      <c r="X11" s="174" t="s">
        <v>75</v>
      </c>
      <c r="Y11" s="175" t="s">
        <v>75</v>
      </c>
      <c r="Z11" s="175" t="s">
        <v>75</v>
      </c>
      <c r="AA11" s="175" t="s">
        <v>75</v>
      </c>
      <c r="AB11" s="175" t="s">
        <v>75</v>
      </c>
      <c r="AC11" s="176" t="s">
        <v>75</v>
      </c>
    </row>
    <row r="12" spans="1:32" s="3" customFormat="1" ht="12" x14ac:dyDescent="0.2">
      <c r="A12" s="36">
        <v>100</v>
      </c>
      <c r="B12" s="23" t="s">
        <v>25</v>
      </c>
      <c r="C12" s="37">
        <v>100000</v>
      </c>
      <c r="D12" s="32" t="s">
        <v>75</v>
      </c>
      <c r="E12" s="38">
        <v>160</v>
      </c>
      <c r="F12" s="38">
        <v>500</v>
      </c>
      <c r="G12" s="38">
        <v>1600</v>
      </c>
      <c r="H12" s="38">
        <v>5000</v>
      </c>
      <c r="I12" s="38">
        <v>10000</v>
      </c>
      <c r="J12" s="38">
        <v>16000</v>
      </c>
      <c r="K12" s="38">
        <v>30000</v>
      </c>
      <c r="L12" s="38">
        <v>50000</v>
      </c>
      <c r="M12" s="33" t="s">
        <v>75</v>
      </c>
      <c r="N12" s="33" t="s">
        <v>75</v>
      </c>
      <c r="O12" s="33" t="s">
        <v>75</v>
      </c>
      <c r="P12" s="33" t="s">
        <v>75</v>
      </c>
      <c r="Q12" s="34">
        <v>500</v>
      </c>
      <c r="R12" s="34">
        <v>1000</v>
      </c>
      <c r="S12" s="34">
        <v>2000</v>
      </c>
      <c r="T12" s="34">
        <v>5000</v>
      </c>
      <c r="U12" s="34">
        <v>10000</v>
      </c>
      <c r="V12" s="34">
        <v>15000</v>
      </c>
      <c r="W12" s="35">
        <v>10000</v>
      </c>
      <c r="X12" s="174" t="s">
        <v>75</v>
      </c>
      <c r="Y12" s="175" t="s">
        <v>75</v>
      </c>
      <c r="Z12" s="175" t="s">
        <v>75</v>
      </c>
      <c r="AA12" s="175" t="s">
        <v>75</v>
      </c>
      <c r="AB12" s="175" t="s">
        <v>75</v>
      </c>
      <c r="AC12" s="176" t="s">
        <v>75</v>
      </c>
      <c r="AE12" s="118"/>
    </row>
    <row r="13" spans="1:32" s="3" customFormat="1" ht="12" x14ac:dyDescent="0.2">
      <c r="A13" s="36">
        <v>50</v>
      </c>
      <c r="B13" s="23" t="s">
        <v>25</v>
      </c>
      <c r="C13" s="37">
        <v>50000</v>
      </c>
      <c r="D13" s="38">
        <v>25</v>
      </c>
      <c r="E13" s="38">
        <v>80</v>
      </c>
      <c r="F13" s="38">
        <v>250</v>
      </c>
      <c r="G13" s="38">
        <v>800</v>
      </c>
      <c r="H13" s="38">
        <v>2500</v>
      </c>
      <c r="I13" s="38">
        <v>5000</v>
      </c>
      <c r="J13" s="38">
        <v>8000</v>
      </c>
      <c r="K13" s="38">
        <v>16000</v>
      </c>
      <c r="L13" s="38">
        <v>25000</v>
      </c>
      <c r="M13" s="34">
        <v>13</v>
      </c>
      <c r="N13" s="34">
        <v>25</v>
      </c>
      <c r="O13" s="34">
        <v>63</v>
      </c>
      <c r="P13" s="34">
        <v>125</v>
      </c>
      <c r="Q13" s="34">
        <v>250</v>
      </c>
      <c r="R13" s="34">
        <v>500</v>
      </c>
      <c r="S13" s="34">
        <v>1000</v>
      </c>
      <c r="T13" s="34">
        <v>2500</v>
      </c>
      <c r="U13" s="34">
        <v>5000</v>
      </c>
      <c r="V13" s="34">
        <v>7500</v>
      </c>
      <c r="W13" s="35">
        <v>5000</v>
      </c>
      <c r="X13" s="174" t="s">
        <v>75</v>
      </c>
      <c r="Y13" s="175" t="s">
        <v>75</v>
      </c>
      <c r="Z13" s="175" t="s">
        <v>75</v>
      </c>
      <c r="AA13" s="175" t="s">
        <v>75</v>
      </c>
      <c r="AB13" s="175" t="s">
        <v>75</v>
      </c>
      <c r="AC13" s="176" t="s">
        <v>75</v>
      </c>
    </row>
    <row r="14" spans="1:32" s="3" customFormat="1" ht="12" x14ac:dyDescent="0.2">
      <c r="A14" s="30">
        <v>30</v>
      </c>
      <c r="B14" s="23" t="s">
        <v>25</v>
      </c>
      <c r="C14" s="31">
        <v>30000</v>
      </c>
      <c r="D14" s="32" t="s">
        <v>75</v>
      </c>
      <c r="E14" s="32" t="s">
        <v>75</v>
      </c>
      <c r="F14" s="32" t="s">
        <v>75</v>
      </c>
      <c r="G14" s="32" t="s">
        <v>75</v>
      </c>
      <c r="H14" s="32" t="s">
        <v>75</v>
      </c>
      <c r="I14" s="32" t="s">
        <v>75</v>
      </c>
      <c r="J14" s="32" t="s">
        <v>75</v>
      </c>
      <c r="K14" s="32" t="s">
        <v>75</v>
      </c>
      <c r="L14" s="32" t="s">
        <v>75</v>
      </c>
      <c r="M14" s="34">
        <v>7.5</v>
      </c>
      <c r="N14" s="34">
        <v>15</v>
      </c>
      <c r="O14" s="34">
        <v>38</v>
      </c>
      <c r="P14" s="34">
        <v>75</v>
      </c>
      <c r="Q14" s="34">
        <v>150</v>
      </c>
      <c r="R14" s="34">
        <v>300</v>
      </c>
      <c r="S14" s="34">
        <v>600</v>
      </c>
      <c r="T14" s="34">
        <v>1500</v>
      </c>
      <c r="U14" s="34">
        <v>3000</v>
      </c>
      <c r="V14" s="34">
        <v>4500</v>
      </c>
      <c r="W14" s="35">
        <v>3000</v>
      </c>
      <c r="X14" s="174" t="s">
        <v>75</v>
      </c>
      <c r="Y14" s="175" t="s">
        <v>75</v>
      </c>
      <c r="Z14" s="175" t="s">
        <v>75</v>
      </c>
      <c r="AA14" s="175" t="s">
        <v>75</v>
      </c>
      <c r="AB14" s="175" t="s">
        <v>75</v>
      </c>
      <c r="AC14" s="176" t="s">
        <v>75</v>
      </c>
    </row>
    <row r="15" spans="1:32" s="3" customFormat="1" ht="12" x14ac:dyDescent="0.2">
      <c r="A15" s="30">
        <v>25</v>
      </c>
      <c r="B15" s="23" t="s">
        <v>25</v>
      </c>
      <c r="C15" s="31">
        <v>25000</v>
      </c>
      <c r="D15" s="32" t="s">
        <v>75</v>
      </c>
      <c r="E15" s="32" t="s">
        <v>75</v>
      </c>
      <c r="F15" s="32" t="s">
        <v>75</v>
      </c>
      <c r="G15" s="32" t="s">
        <v>75</v>
      </c>
      <c r="H15" s="32" t="s">
        <v>75</v>
      </c>
      <c r="I15" s="32" t="s">
        <v>75</v>
      </c>
      <c r="J15" s="32" t="s">
        <v>75</v>
      </c>
      <c r="K15" s="32" t="s">
        <v>75</v>
      </c>
      <c r="L15" s="32" t="s">
        <v>75</v>
      </c>
      <c r="M15" s="34">
        <v>6.3</v>
      </c>
      <c r="N15" s="34">
        <v>13</v>
      </c>
      <c r="O15" s="34">
        <v>31</v>
      </c>
      <c r="P15" s="34">
        <v>62</v>
      </c>
      <c r="Q15" s="34">
        <v>125</v>
      </c>
      <c r="R15" s="34">
        <v>250</v>
      </c>
      <c r="S15" s="34">
        <v>500</v>
      </c>
      <c r="T15" s="34">
        <v>1200</v>
      </c>
      <c r="U15" s="34">
        <v>2500</v>
      </c>
      <c r="V15" s="34">
        <v>3800</v>
      </c>
      <c r="W15" s="35">
        <v>2500</v>
      </c>
      <c r="X15" s="174" t="s">
        <v>75</v>
      </c>
      <c r="Y15" s="175" t="s">
        <v>75</v>
      </c>
      <c r="Z15" s="175" t="s">
        <v>75</v>
      </c>
      <c r="AA15" s="175" t="s">
        <v>75</v>
      </c>
      <c r="AB15" s="175" t="s">
        <v>75</v>
      </c>
      <c r="AC15" s="176" t="s">
        <v>75</v>
      </c>
    </row>
    <row r="16" spans="1:32" s="3" customFormat="1" ht="12" x14ac:dyDescent="0.2">
      <c r="A16" s="36">
        <v>20</v>
      </c>
      <c r="B16" s="23" t="s">
        <v>25</v>
      </c>
      <c r="C16" s="37">
        <v>20000</v>
      </c>
      <c r="D16" s="38">
        <v>10</v>
      </c>
      <c r="E16" s="38">
        <v>30</v>
      </c>
      <c r="F16" s="38">
        <v>100</v>
      </c>
      <c r="G16" s="38">
        <v>300</v>
      </c>
      <c r="H16" s="38">
        <v>1000</v>
      </c>
      <c r="I16" s="32" t="s">
        <v>75</v>
      </c>
      <c r="J16" s="38">
        <v>3000</v>
      </c>
      <c r="K16" s="32" t="s">
        <v>75</v>
      </c>
      <c r="L16" s="38">
        <v>10000</v>
      </c>
      <c r="M16" s="34">
        <v>5</v>
      </c>
      <c r="N16" s="34">
        <v>10</v>
      </c>
      <c r="O16" s="34">
        <v>25</v>
      </c>
      <c r="P16" s="34">
        <v>50</v>
      </c>
      <c r="Q16" s="34">
        <v>100</v>
      </c>
      <c r="R16" s="34">
        <v>200</v>
      </c>
      <c r="S16" s="34">
        <v>400</v>
      </c>
      <c r="T16" s="34">
        <v>1000</v>
      </c>
      <c r="U16" s="34">
        <v>2000</v>
      </c>
      <c r="V16" s="34">
        <v>3800</v>
      </c>
      <c r="W16" s="35">
        <v>2000</v>
      </c>
      <c r="X16" s="174" t="s">
        <v>75</v>
      </c>
      <c r="Y16" s="175" t="s">
        <v>75</v>
      </c>
      <c r="Z16" s="175" t="s">
        <v>75</v>
      </c>
      <c r="AA16" s="175" t="s">
        <v>75</v>
      </c>
      <c r="AB16" s="175" t="s">
        <v>75</v>
      </c>
      <c r="AC16" s="176" t="s">
        <v>75</v>
      </c>
    </row>
    <row r="17" spans="1:29" s="3" customFormat="1" ht="12" x14ac:dyDescent="0.2">
      <c r="A17" s="36">
        <v>10</v>
      </c>
      <c r="B17" s="23" t="s">
        <v>25</v>
      </c>
      <c r="C17" s="37">
        <v>10000</v>
      </c>
      <c r="D17" s="38">
        <v>5</v>
      </c>
      <c r="E17" s="38">
        <v>16</v>
      </c>
      <c r="F17" s="38">
        <v>50</v>
      </c>
      <c r="G17" s="38">
        <v>160</v>
      </c>
      <c r="H17" s="38">
        <v>500</v>
      </c>
      <c r="I17" s="32" t="s">
        <v>75</v>
      </c>
      <c r="J17" s="38">
        <v>1600</v>
      </c>
      <c r="K17" s="32" t="s">
        <v>75</v>
      </c>
      <c r="L17" s="38">
        <v>5000</v>
      </c>
      <c r="M17" s="34">
        <v>2.5</v>
      </c>
      <c r="N17" s="34">
        <v>5</v>
      </c>
      <c r="O17" s="34">
        <v>13</v>
      </c>
      <c r="P17" s="34">
        <v>25</v>
      </c>
      <c r="Q17" s="34">
        <v>50</v>
      </c>
      <c r="R17" s="34">
        <v>100</v>
      </c>
      <c r="S17" s="34">
        <v>200</v>
      </c>
      <c r="T17" s="34">
        <v>500</v>
      </c>
      <c r="U17" s="34">
        <v>1000</v>
      </c>
      <c r="V17" s="34">
        <v>2200</v>
      </c>
      <c r="W17" s="35">
        <v>1000</v>
      </c>
      <c r="X17" s="174" t="s">
        <v>75</v>
      </c>
      <c r="Y17" s="175" t="s">
        <v>75</v>
      </c>
      <c r="Z17" s="175" t="s">
        <v>75</v>
      </c>
      <c r="AA17" s="175" t="s">
        <v>75</v>
      </c>
      <c r="AB17" s="175" t="s">
        <v>75</v>
      </c>
      <c r="AC17" s="176" t="s">
        <v>75</v>
      </c>
    </row>
    <row r="18" spans="1:29" s="3" customFormat="1" ht="12" x14ac:dyDescent="0.2">
      <c r="A18" s="36">
        <v>5</v>
      </c>
      <c r="B18" s="23" t="s">
        <v>25</v>
      </c>
      <c r="C18" s="37">
        <v>5000</v>
      </c>
      <c r="D18" s="38">
        <v>2.5</v>
      </c>
      <c r="E18" s="38">
        <v>8</v>
      </c>
      <c r="F18" s="38">
        <v>25</v>
      </c>
      <c r="G18" s="38">
        <v>80</v>
      </c>
      <c r="H18" s="38">
        <v>250</v>
      </c>
      <c r="I18" s="32" t="s">
        <v>75</v>
      </c>
      <c r="J18" s="38">
        <v>800</v>
      </c>
      <c r="K18" s="32" t="s">
        <v>75</v>
      </c>
      <c r="L18" s="38">
        <v>2500</v>
      </c>
      <c r="M18" s="34">
        <v>1.3</v>
      </c>
      <c r="N18" s="34">
        <v>2.5</v>
      </c>
      <c r="O18" s="34">
        <v>6</v>
      </c>
      <c r="P18" s="34">
        <v>12</v>
      </c>
      <c r="Q18" s="34">
        <v>25</v>
      </c>
      <c r="R18" s="34">
        <v>50</v>
      </c>
      <c r="S18" s="34">
        <v>100</v>
      </c>
      <c r="T18" s="34">
        <v>250</v>
      </c>
      <c r="U18" s="34">
        <v>500</v>
      </c>
      <c r="V18" s="34">
        <v>1400</v>
      </c>
      <c r="W18" s="35">
        <v>500</v>
      </c>
      <c r="X18" s="174" t="s">
        <v>75</v>
      </c>
      <c r="Y18" s="175" t="s">
        <v>75</v>
      </c>
      <c r="Z18" s="175" t="s">
        <v>75</v>
      </c>
      <c r="AA18" s="175" t="s">
        <v>75</v>
      </c>
      <c r="AB18" s="175" t="s">
        <v>75</v>
      </c>
      <c r="AC18" s="176" t="s">
        <v>75</v>
      </c>
    </row>
    <row r="19" spans="1:29" s="3" customFormat="1" ht="12" x14ac:dyDescent="0.2">
      <c r="A19" s="30">
        <v>3</v>
      </c>
      <c r="B19" s="23" t="s">
        <v>25</v>
      </c>
      <c r="C19" s="31">
        <v>3000</v>
      </c>
      <c r="D19" s="32" t="s">
        <v>75</v>
      </c>
      <c r="E19" s="32" t="s">
        <v>75</v>
      </c>
      <c r="F19" s="32" t="s">
        <v>75</v>
      </c>
      <c r="G19" s="32" t="s">
        <v>75</v>
      </c>
      <c r="H19" s="32" t="s">
        <v>75</v>
      </c>
      <c r="I19" s="32" t="s">
        <v>75</v>
      </c>
      <c r="J19" s="32" t="s">
        <v>75</v>
      </c>
      <c r="K19" s="32" t="s">
        <v>75</v>
      </c>
      <c r="L19" s="32" t="s">
        <v>75</v>
      </c>
      <c r="M19" s="34">
        <v>0.75</v>
      </c>
      <c r="N19" s="34">
        <v>1.5</v>
      </c>
      <c r="O19" s="34">
        <v>3.8</v>
      </c>
      <c r="P19" s="34">
        <v>7.5</v>
      </c>
      <c r="Q19" s="34">
        <v>15</v>
      </c>
      <c r="R19" s="34">
        <v>30</v>
      </c>
      <c r="S19" s="34">
        <v>60</v>
      </c>
      <c r="T19" s="34">
        <v>150</v>
      </c>
      <c r="U19" s="34">
        <v>300</v>
      </c>
      <c r="V19" s="34">
        <v>1000</v>
      </c>
      <c r="W19" s="35">
        <v>300</v>
      </c>
      <c r="X19" s="174" t="s">
        <v>75</v>
      </c>
      <c r="Y19" s="175" t="s">
        <v>75</v>
      </c>
      <c r="Z19" s="175" t="s">
        <v>75</v>
      </c>
      <c r="AA19" s="175" t="s">
        <v>75</v>
      </c>
      <c r="AB19" s="175" t="s">
        <v>75</v>
      </c>
      <c r="AC19" s="176" t="s">
        <v>75</v>
      </c>
    </row>
    <row r="20" spans="1:29" s="3" customFormat="1" ht="12" x14ac:dyDescent="0.2">
      <c r="A20" s="36">
        <v>2</v>
      </c>
      <c r="B20" s="23" t="s">
        <v>25</v>
      </c>
      <c r="C20" s="37">
        <v>2000</v>
      </c>
      <c r="D20" s="38">
        <v>1</v>
      </c>
      <c r="E20" s="38">
        <v>3</v>
      </c>
      <c r="F20" s="38">
        <v>10</v>
      </c>
      <c r="G20" s="38">
        <v>30</v>
      </c>
      <c r="H20" s="38">
        <v>100</v>
      </c>
      <c r="I20" s="32" t="s">
        <v>75</v>
      </c>
      <c r="J20" s="38">
        <v>300</v>
      </c>
      <c r="K20" s="32" t="s">
        <v>75</v>
      </c>
      <c r="L20" s="38">
        <v>1000</v>
      </c>
      <c r="M20" s="34">
        <v>0.5</v>
      </c>
      <c r="N20" s="34">
        <v>1</v>
      </c>
      <c r="O20" s="34">
        <v>2.5</v>
      </c>
      <c r="P20" s="34">
        <v>5</v>
      </c>
      <c r="Q20" s="34">
        <v>10</v>
      </c>
      <c r="R20" s="34">
        <v>20</v>
      </c>
      <c r="S20" s="34">
        <v>40</v>
      </c>
      <c r="T20" s="34">
        <v>100</v>
      </c>
      <c r="U20" s="34">
        <v>200</v>
      </c>
      <c r="V20" s="34">
        <v>750</v>
      </c>
      <c r="W20" s="35">
        <v>200</v>
      </c>
      <c r="X20" s="174" t="s">
        <v>75</v>
      </c>
      <c r="Y20" s="175" t="s">
        <v>75</v>
      </c>
      <c r="Z20" s="175" t="s">
        <v>75</v>
      </c>
      <c r="AA20" s="175" t="s">
        <v>75</v>
      </c>
      <c r="AB20" s="175" t="s">
        <v>75</v>
      </c>
      <c r="AC20" s="176" t="s">
        <v>75</v>
      </c>
    </row>
    <row r="21" spans="1:29" s="3" customFormat="1" ht="12" x14ac:dyDescent="0.2">
      <c r="A21" s="36">
        <v>1</v>
      </c>
      <c r="B21" s="23" t="s">
        <v>25</v>
      </c>
      <c r="C21" s="37">
        <v>1000</v>
      </c>
      <c r="D21" s="38">
        <v>0.5</v>
      </c>
      <c r="E21" s="38">
        <v>1.6</v>
      </c>
      <c r="F21" s="38">
        <v>5</v>
      </c>
      <c r="G21" s="38">
        <v>16</v>
      </c>
      <c r="H21" s="38">
        <v>50</v>
      </c>
      <c r="I21" s="32" t="s">
        <v>75</v>
      </c>
      <c r="J21" s="38">
        <v>160</v>
      </c>
      <c r="K21" s="32" t="s">
        <v>75</v>
      </c>
      <c r="L21" s="38">
        <v>500</v>
      </c>
      <c r="M21" s="34">
        <v>0.25</v>
      </c>
      <c r="N21" s="34">
        <v>0.5</v>
      </c>
      <c r="O21" s="34">
        <v>1.3</v>
      </c>
      <c r="P21" s="34">
        <v>2.5</v>
      </c>
      <c r="Q21" s="34">
        <v>5</v>
      </c>
      <c r="R21" s="34">
        <v>10</v>
      </c>
      <c r="S21" s="34">
        <v>20</v>
      </c>
      <c r="T21" s="34">
        <v>50</v>
      </c>
      <c r="U21" s="34">
        <v>100</v>
      </c>
      <c r="V21" s="34">
        <v>470</v>
      </c>
      <c r="W21" s="35">
        <v>100</v>
      </c>
      <c r="X21" s="174" t="s">
        <v>75</v>
      </c>
      <c r="Y21" s="175" t="s">
        <v>75</v>
      </c>
      <c r="Z21" s="175" t="s">
        <v>75</v>
      </c>
      <c r="AA21" s="175" t="s">
        <v>75</v>
      </c>
      <c r="AB21" s="175" t="s">
        <v>75</v>
      </c>
      <c r="AC21" s="176" t="s">
        <v>75</v>
      </c>
    </row>
    <row r="22" spans="1:29" s="3" customFormat="1" ht="12" x14ac:dyDescent="0.2">
      <c r="A22" s="36">
        <v>500</v>
      </c>
      <c r="B22" s="39" t="s">
        <v>29</v>
      </c>
      <c r="C22" s="37">
        <v>500</v>
      </c>
      <c r="D22" s="38">
        <v>0.25</v>
      </c>
      <c r="E22" s="38">
        <v>0.8</v>
      </c>
      <c r="F22" s="38">
        <v>2.5</v>
      </c>
      <c r="G22" s="38">
        <v>8</v>
      </c>
      <c r="H22" s="38">
        <v>25</v>
      </c>
      <c r="I22" s="32" t="s">
        <v>75</v>
      </c>
      <c r="J22" s="38">
        <v>80</v>
      </c>
      <c r="K22" s="32" t="s">
        <v>75</v>
      </c>
      <c r="L22" s="38">
        <v>250</v>
      </c>
      <c r="M22" s="34">
        <v>0.13</v>
      </c>
      <c r="N22" s="34">
        <v>0.25</v>
      </c>
      <c r="O22" s="34">
        <v>0.6</v>
      </c>
      <c r="P22" s="34">
        <v>1.2</v>
      </c>
      <c r="Q22" s="34">
        <v>2.5</v>
      </c>
      <c r="R22" s="34">
        <v>5</v>
      </c>
      <c r="S22" s="34">
        <v>10</v>
      </c>
      <c r="T22" s="34">
        <v>30</v>
      </c>
      <c r="U22" s="34">
        <v>50</v>
      </c>
      <c r="V22" s="34">
        <v>300</v>
      </c>
      <c r="W22" s="35">
        <v>70</v>
      </c>
      <c r="X22" s="174" t="s">
        <v>75</v>
      </c>
      <c r="Y22" s="175" t="s">
        <v>75</v>
      </c>
      <c r="Z22" s="175" t="s">
        <v>75</v>
      </c>
      <c r="AA22" s="175" t="s">
        <v>75</v>
      </c>
      <c r="AB22" s="175" t="s">
        <v>75</v>
      </c>
      <c r="AC22" s="176" t="s">
        <v>75</v>
      </c>
    </row>
    <row r="23" spans="1:29" s="3" customFormat="1" ht="12" x14ac:dyDescent="0.2">
      <c r="A23" s="30">
        <v>300</v>
      </c>
      <c r="B23" s="39" t="s">
        <v>29</v>
      </c>
      <c r="C23" s="31">
        <v>300</v>
      </c>
      <c r="D23" s="32" t="s">
        <v>75</v>
      </c>
      <c r="E23" s="32" t="s">
        <v>75</v>
      </c>
      <c r="F23" s="32" t="s">
        <v>75</v>
      </c>
      <c r="G23" s="32" t="s">
        <v>75</v>
      </c>
      <c r="H23" s="32" t="s">
        <v>75</v>
      </c>
      <c r="I23" s="32" t="s">
        <v>75</v>
      </c>
      <c r="J23" s="32" t="s">
        <v>75</v>
      </c>
      <c r="K23" s="32" t="s">
        <v>75</v>
      </c>
      <c r="L23" s="32" t="s">
        <v>75</v>
      </c>
      <c r="M23" s="34">
        <v>7.4999999999999997E-2</v>
      </c>
      <c r="N23" s="34">
        <v>0.15</v>
      </c>
      <c r="O23" s="34">
        <v>0.38</v>
      </c>
      <c r="P23" s="34">
        <v>0.75</v>
      </c>
      <c r="Q23" s="34">
        <v>1.5</v>
      </c>
      <c r="R23" s="34">
        <v>3</v>
      </c>
      <c r="S23" s="34">
        <v>6</v>
      </c>
      <c r="T23" s="34">
        <v>20</v>
      </c>
      <c r="U23" s="34">
        <v>30</v>
      </c>
      <c r="V23" s="34">
        <v>210</v>
      </c>
      <c r="W23" s="35">
        <v>60</v>
      </c>
      <c r="X23" s="174" t="s">
        <v>75</v>
      </c>
      <c r="Y23" s="175" t="s">
        <v>75</v>
      </c>
      <c r="Z23" s="175" t="s">
        <v>75</v>
      </c>
      <c r="AA23" s="175" t="s">
        <v>75</v>
      </c>
      <c r="AB23" s="175" t="s">
        <v>75</v>
      </c>
      <c r="AC23" s="176" t="s">
        <v>75</v>
      </c>
    </row>
    <row r="24" spans="1:29" s="3" customFormat="1" ht="12" x14ac:dyDescent="0.2">
      <c r="A24" s="36">
        <v>200</v>
      </c>
      <c r="B24" s="39" t="s">
        <v>29</v>
      </c>
      <c r="C24" s="37">
        <v>200</v>
      </c>
      <c r="D24" s="38">
        <v>0.1</v>
      </c>
      <c r="E24" s="38">
        <v>0.3</v>
      </c>
      <c r="F24" s="38">
        <v>1</v>
      </c>
      <c r="G24" s="38">
        <v>3</v>
      </c>
      <c r="H24" s="38">
        <v>10</v>
      </c>
      <c r="I24" s="32" t="s">
        <v>75</v>
      </c>
      <c r="J24" s="38">
        <v>30</v>
      </c>
      <c r="K24" s="32" t="s">
        <v>75</v>
      </c>
      <c r="L24" s="38">
        <v>100</v>
      </c>
      <c r="M24" s="34">
        <v>0.05</v>
      </c>
      <c r="N24" s="34">
        <v>0.1</v>
      </c>
      <c r="O24" s="34">
        <v>0.25</v>
      </c>
      <c r="P24" s="34">
        <v>0.5</v>
      </c>
      <c r="Q24" s="34">
        <v>1</v>
      </c>
      <c r="R24" s="34">
        <v>2</v>
      </c>
      <c r="S24" s="34">
        <v>4</v>
      </c>
      <c r="T24" s="34">
        <v>15</v>
      </c>
      <c r="U24" s="34">
        <v>20</v>
      </c>
      <c r="V24" s="34">
        <v>160</v>
      </c>
      <c r="W24" s="35">
        <v>40</v>
      </c>
      <c r="X24" s="174" t="s">
        <v>75</v>
      </c>
      <c r="Y24" s="177" t="s">
        <v>75</v>
      </c>
      <c r="Z24" s="177" t="s">
        <v>75</v>
      </c>
      <c r="AA24" s="175" t="s">
        <v>75</v>
      </c>
      <c r="AB24" s="175" t="s">
        <v>75</v>
      </c>
      <c r="AC24" s="176" t="s">
        <v>75</v>
      </c>
    </row>
    <row r="25" spans="1:29" s="3" customFormat="1" ht="12" x14ac:dyDescent="0.2">
      <c r="A25" s="36">
        <v>100</v>
      </c>
      <c r="B25" s="39" t="s">
        <v>29</v>
      </c>
      <c r="C25" s="37">
        <v>100</v>
      </c>
      <c r="D25" s="38">
        <v>0.05</v>
      </c>
      <c r="E25" s="38">
        <v>0.16</v>
      </c>
      <c r="F25" s="38">
        <v>0.5</v>
      </c>
      <c r="G25" s="38">
        <v>1.6</v>
      </c>
      <c r="H25" s="38">
        <v>5</v>
      </c>
      <c r="I25" s="32" t="s">
        <v>75</v>
      </c>
      <c r="J25" s="38">
        <v>16</v>
      </c>
      <c r="K25" s="32" t="s">
        <v>75</v>
      </c>
      <c r="L25" s="38">
        <v>50</v>
      </c>
      <c r="M25" s="34">
        <v>2.5000000000000001E-2</v>
      </c>
      <c r="N25" s="34">
        <v>0.05</v>
      </c>
      <c r="O25" s="34">
        <v>0.13</v>
      </c>
      <c r="P25" s="34">
        <v>0.25</v>
      </c>
      <c r="Q25" s="34">
        <v>0.5</v>
      </c>
      <c r="R25" s="34">
        <v>1</v>
      </c>
      <c r="S25" s="34">
        <v>2</v>
      </c>
      <c r="T25" s="34">
        <v>9</v>
      </c>
      <c r="U25" s="34">
        <v>10</v>
      </c>
      <c r="V25" s="34">
        <v>100</v>
      </c>
      <c r="W25" s="35">
        <v>20</v>
      </c>
      <c r="X25" s="174" t="s">
        <v>75</v>
      </c>
      <c r="Y25" s="175" t="s">
        <v>75</v>
      </c>
      <c r="Z25" s="175" t="s">
        <v>75</v>
      </c>
      <c r="AA25" s="175" t="s">
        <v>75</v>
      </c>
      <c r="AB25" s="175" t="s">
        <v>75</v>
      </c>
      <c r="AC25" s="176" t="s">
        <v>75</v>
      </c>
    </row>
    <row r="26" spans="1:29" s="3" customFormat="1" ht="12" x14ac:dyDescent="0.2">
      <c r="A26" s="36">
        <v>50</v>
      </c>
      <c r="B26" s="39" t="s">
        <v>29</v>
      </c>
      <c r="C26" s="37">
        <v>50</v>
      </c>
      <c r="D26" s="38">
        <v>0.03</v>
      </c>
      <c r="E26" s="38">
        <v>0.1</v>
      </c>
      <c r="F26" s="38">
        <v>0.3</v>
      </c>
      <c r="G26" s="38">
        <v>1</v>
      </c>
      <c r="H26" s="38">
        <v>3</v>
      </c>
      <c r="I26" s="32" t="s">
        <v>75</v>
      </c>
      <c r="J26" s="38">
        <v>10</v>
      </c>
      <c r="K26" s="32" t="s">
        <v>75</v>
      </c>
      <c r="L26" s="38">
        <v>30</v>
      </c>
      <c r="M26" s="34">
        <v>1.4999999999999999E-2</v>
      </c>
      <c r="N26" s="34">
        <v>0.03</v>
      </c>
      <c r="O26" s="34">
        <v>0.06</v>
      </c>
      <c r="P26" s="34">
        <v>0.12</v>
      </c>
      <c r="Q26" s="34">
        <v>0.25</v>
      </c>
      <c r="R26" s="34">
        <v>0.6</v>
      </c>
      <c r="S26" s="34">
        <v>1.2</v>
      </c>
      <c r="T26" s="34">
        <v>5.6</v>
      </c>
      <c r="U26" s="34">
        <v>7</v>
      </c>
      <c r="V26" s="33">
        <v>62</v>
      </c>
      <c r="W26" s="35">
        <v>10</v>
      </c>
      <c r="X26" s="174" t="s">
        <v>75</v>
      </c>
      <c r="Y26" s="175" t="s">
        <v>75</v>
      </c>
      <c r="Z26" s="175" t="s">
        <v>75</v>
      </c>
      <c r="AA26" s="175" t="s">
        <v>75</v>
      </c>
      <c r="AB26" s="175" t="s">
        <v>75</v>
      </c>
      <c r="AC26" s="176" t="s">
        <v>75</v>
      </c>
    </row>
    <row r="27" spans="1:29" s="3" customFormat="1" ht="12" x14ac:dyDescent="0.2">
      <c r="A27" s="30">
        <v>30</v>
      </c>
      <c r="B27" s="39" t="s">
        <v>29</v>
      </c>
      <c r="C27" s="31">
        <v>30</v>
      </c>
      <c r="D27" s="32" t="s">
        <v>75</v>
      </c>
      <c r="E27" s="32" t="s">
        <v>75</v>
      </c>
      <c r="F27" s="32" t="s">
        <v>75</v>
      </c>
      <c r="G27" s="32" t="s">
        <v>75</v>
      </c>
      <c r="H27" s="32" t="s">
        <v>75</v>
      </c>
      <c r="I27" s="32" t="s">
        <v>75</v>
      </c>
      <c r="J27" s="32" t="s">
        <v>75</v>
      </c>
      <c r="K27" s="32" t="s">
        <v>75</v>
      </c>
      <c r="L27" s="32" t="s">
        <v>75</v>
      </c>
      <c r="M27" s="34">
        <v>1.4E-2</v>
      </c>
      <c r="N27" s="34">
        <v>2.5999999999999999E-2</v>
      </c>
      <c r="O27" s="34">
        <v>3.6999999999999998E-2</v>
      </c>
      <c r="P27" s="34">
        <v>7.3999999999999996E-2</v>
      </c>
      <c r="Q27" s="34">
        <v>0.15</v>
      </c>
      <c r="R27" s="34">
        <v>0.45</v>
      </c>
      <c r="S27" s="34">
        <v>0.9</v>
      </c>
      <c r="T27" s="34">
        <v>4</v>
      </c>
      <c r="U27" s="34">
        <v>5</v>
      </c>
      <c r="V27" s="34">
        <v>44</v>
      </c>
      <c r="W27" s="35">
        <v>6</v>
      </c>
      <c r="X27" s="174" t="s">
        <v>75</v>
      </c>
      <c r="Y27" s="175" t="s">
        <v>75</v>
      </c>
      <c r="Z27" s="175" t="s">
        <v>75</v>
      </c>
      <c r="AA27" s="175" t="s">
        <v>75</v>
      </c>
      <c r="AB27" s="175" t="s">
        <v>75</v>
      </c>
      <c r="AC27" s="176" t="s">
        <v>75</v>
      </c>
    </row>
    <row r="28" spans="1:29" s="3" customFormat="1" ht="12" x14ac:dyDescent="0.2">
      <c r="A28" s="36">
        <v>20</v>
      </c>
      <c r="B28" s="39" t="s">
        <v>29</v>
      </c>
      <c r="C28" s="37">
        <v>20</v>
      </c>
      <c r="D28" s="38">
        <v>2.5000000000000001E-2</v>
      </c>
      <c r="E28" s="38">
        <v>0.08</v>
      </c>
      <c r="F28" s="38">
        <v>0.25</v>
      </c>
      <c r="G28" s="38">
        <v>0.8</v>
      </c>
      <c r="H28" s="38">
        <v>2.5</v>
      </c>
      <c r="I28" s="32" t="s">
        <v>75</v>
      </c>
      <c r="J28" s="38">
        <v>8</v>
      </c>
      <c r="K28" s="32" t="s">
        <v>75</v>
      </c>
      <c r="L28" s="38">
        <v>25</v>
      </c>
      <c r="M28" s="34">
        <v>1.2999999999999999E-2</v>
      </c>
      <c r="N28" s="34">
        <v>2.5000000000000001E-2</v>
      </c>
      <c r="O28" s="34">
        <v>3.6999999999999998E-2</v>
      </c>
      <c r="P28" s="34">
        <v>7.3999999999999996E-2</v>
      </c>
      <c r="Q28" s="34">
        <v>0.1</v>
      </c>
      <c r="R28" s="34">
        <v>0.35</v>
      </c>
      <c r="S28" s="34">
        <v>0.7</v>
      </c>
      <c r="T28" s="34">
        <v>3</v>
      </c>
      <c r="U28" s="34">
        <v>3</v>
      </c>
      <c r="V28" s="34">
        <v>33</v>
      </c>
      <c r="W28" s="35">
        <v>4</v>
      </c>
      <c r="X28" s="174" t="s">
        <v>75</v>
      </c>
      <c r="Y28" s="175" t="s">
        <v>75</v>
      </c>
      <c r="Z28" s="175" t="s">
        <v>75</v>
      </c>
      <c r="AA28" s="175" t="s">
        <v>75</v>
      </c>
      <c r="AB28" s="175" t="s">
        <v>75</v>
      </c>
      <c r="AC28" s="176" t="s">
        <v>75</v>
      </c>
    </row>
    <row r="29" spans="1:29" s="3" customFormat="1" ht="12" x14ac:dyDescent="0.2">
      <c r="A29" s="36">
        <v>10</v>
      </c>
      <c r="B29" s="39" t="s">
        <v>29</v>
      </c>
      <c r="C29" s="37">
        <v>10</v>
      </c>
      <c r="D29" s="38">
        <v>0.02</v>
      </c>
      <c r="E29" s="38">
        <v>0.06</v>
      </c>
      <c r="F29" s="38">
        <v>0.2</v>
      </c>
      <c r="G29" s="38">
        <v>0.6</v>
      </c>
      <c r="H29" s="38">
        <v>2</v>
      </c>
      <c r="I29" s="32" t="s">
        <v>75</v>
      </c>
      <c r="J29" s="38">
        <v>6</v>
      </c>
      <c r="K29" s="32" t="s">
        <v>75</v>
      </c>
      <c r="L29" s="38">
        <v>20</v>
      </c>
      <c r="M29" s="34">
        <v>0.01</v>
      </c>
      <c r="N29" s="34">
        <v>0.02</v>
      </c>
      <c r="O29" s="34">
        <v>2.5000000000000001E-2</v>
      </c>
      <c r="P29" s="34">
        <v>0.05</v>
      </c>
      <c r="Q29" s="34">
        <v>7.3999999999999996E-2</v>
      </c>
      <c r="R29" s="34">
        <v>0.25</v>
      </c>
      <c r="S29" s="34">
        <v>0.5</v>
      </c>
      <c r="T29" s="34">
        <v>2</v>
      </c>
      <c r="U29" s="34">
        <v>2</v>
      </c>
      <c r="V29" s="34">
        <v>21</v>
      </c>
      <c r="W29" s="35">
        <v>2</v>
      </c>
      <c r="X29" s="174" t="s">
        <v>75</v>
      </c>
      <c r="Y29" s="175" t="s">
        <v>75</v>
      </c>
      <c r="Z29" s="175" t="s">
        <v>75</v>
      </c>
      <c r="AA29" s="175" t="s">
        <v>75</v>
      </c>
      <c r="AB29" s="175" t="s">
        <v>75</v>
      </c>
      <c r="AC29" s="176" t="s">
        <v>75</v>
      </c>
    </row>
    <row r="30" spans="1:29" s="3" customFormat="1" ht="12" x14ac:dyDescent="0.2">
      <c r="A30" s="36">
        <v>5</v>
      </c>
      <c r="B30" s="39" t="s">
        <v>29</v>
      </c>
      <c r="C30" s="37">
        <v>5</v>
      </c>
      <c r="D30" s="38">
        <v>1.6E-2</v>
      </c>
      <c r="E30" s="38">
        <v>0.05</v>
      </c>
      <c r="F30" s="38">
        <v>0.16</v>
      </c>
      <c r="G30" s="38">
        <v>0.5</v>
      </c>
      <c r="H30" s="38">
        <v>1.6</v>
      </c>
      <c r="I30" s="32" t="s">
        <v>75</v>
      </c>
      <c r="J30" s="38">
        <v>5</v>
      </c>
      <c r="K30" s="32" t="s">
        <v>75</v>
      </c>
      <c r="L30" s="38">
        <v>16</v>
      </c>
      <c r="M30" s="34">
        <v>5.0000000000000001E-3</v>
      </c>
      <c r="N30" s="34">
        <v>0.01</v>
      </c>
      <c r="O30" s="34">
        <v>1.7000000000000001E-2</v>
      </c>
      <c r="P30" s="34">
        <v>3.4000000000000002E-2</v>
      </c>
      <c r="Q30" s="34">
        <v>5.3999999999999999E-2</v>
      </c>
      <c r="R30" s="34">
        <v>0.18</v>
      </c>
      <c r="S30" s="34">
        <v>0.36</v>
      </c>
      <c r="T30" s="34">
        <v>1.3</v>
      </c>
      <c r="U30" s="34">
        <v>2</v>
      </c>
      <c r="V30" s="34">
        <v>13</v>
      </c>
      <c r="W30" s="35">
        <v>1.5</v>
      </c>
      <c r="X30" s="174" t="s">
        <v>75</v>
      </c>
      <c r="Y30" s="175" t="s">
        <v>75</v>
      </c>
      <c r="Z30" s="175" t="s">
        <v>75</v>
      </c>
      <c r="AA30" s="175" t="s">
        <v>75</v>
      </c>
      <c r="AB30" s="175" t="s">
        <v>75</v>
      </c>
      <c r="AC30" s="176" t="s">
        <v>75</v>
      </c>
    </row>
    <row r="31" spans="1:29" s="3" customFormat="1" ht="12" x14ac:dyDescent="0.2">
      <c r="A31" s="30">
        <v>3</v>
      </c>
      <c r="B31" s="39" t="s">
        <v>29</v>
      </c>
      <c r="C31" s="31">
        <v>3</v>
      </c>
      <c r="D31" s="32" t="s">
        <v>75</v>
      </c>
      <c r="E31" s="32" t="s">
        <v>75</v>
      </c>
      <c r="F31" s="32" t="s">
        <v>75</v>
      </c>
      <c r="G31" s="32" t="s">
        <v>75</v>
      </c>
      <c r="H31" s="32" t="s">
        <v>75</v>
      </c>
      <c r="I31" s="32" t="s">
        <v>75</v>
      </c>
      <c r="J31" s="32" t="s">
        <v>75</v>
      </c>
      <c r="K31" s="32" t="s">
        <v>75</v>
      </c>
      <c r="L31" s="32" t="s">
        <v>75</v>
      </c>
      <c r="M31" s="34">
        <v>5.0000000000000001E-3</v>
      </c>
      <c r="N31" s="34">
        <v>0.01</v>
      </c>
      <c r="O31" s="34">
        <v>1.7000000000000001E-2</v>
      </c>
      <c r="P31" s="34">
        <v>3.4000000000000002E-2</v>
      </c>
      <c r="Q31" s="34">
        <v>5.3999999999999999E-2</v>
      </c>
      <c r="R31" s="34">
        <v>0.15</v>
      </c>
      <c r="S31" s="34">
        <v>0.3</v>
      </c>
      <c r="T31" s="34">
        <v>0.95</v>
      </c>
      <c r="U31" s="34">
        <v>2</v>
      </c>
      <c r="V31" s="34">
        <v>9.4</v>
      </c>
      <c r="W31" s="35">
        <v>1.3</v>
      </c>
      <c r="X31" s="174" t="s">
        <v>75</v>
      </c>
      <c r="Y31" s="175" t="s">
        <v>75</v>
      </c>
      <c r="Z31" s="175" t="s">
        <v>75</v>
      </c>
      <c r="AA31" s="175" t="s">
        <v>75</v>
      </c>
      <c r="AB31" s="175" t="s">
        <v>75</v>
      </c>
      <c r="AC31" s="176" t="s">
        <v>75</v>
      </c>
    </row>
    <row r="32" spans="1:29" s="3" customFormat="1" ht="12" x14ac:dyDescent="0.2">
      <c r="A32" s="36">
        <v>2</v>
      </c>
      <c r="B32" s="39" t="s">
        <v>29</v>
      </c>
      <c r="C32" s="37">
        <v>2</v>
      </c>
      <c r="D32" s="38">
        <v>1.2E-2</v>
      </c>
      <c r="E32" s="38">
        <v>0.04</v>
      </c>
      <c r="F32" s="38">
        <v>0.12</v>
      </c>
      <c r="G32" s="38">
        <v>0.4</v>
      </c>
      <c r="H32" s="38">
        <v>1.2</v>
      </c>
      <c r="I32" s="32" t="s">
        <v>75</v>
      </c>
      <c r="J32" s="38">
        <v>4</v>
      </c>
      <c r="K32" s="32" t="s">
        <v>75</v>
      </c>
      <c r="L32" s="38">
        <v>12</v>
      </c>
      <c r="M32" s="34">
        <v>5.0000000000000001E-3</v>
      </c>
      <c r="N32" s="34">
        <v>0.01</v>
      </c>
      <c r="O32" s="34">
        <v>1.7000000000000001E-2</v>
      </c>
      <c r="P32" s="34">
        <v>3.4000000000000002E-2</v>
      </c>
      <c r="Q32" s="34">
        <v>5.3999999999999999E-2</v>
      </c>
      <c r="R32" s="34">
        <v>0.13</v>
      </c>
      <c r="S32" s="34">
        <v>0.26</v>
      </c>
      <c r="T32" s="34">
        <v>0.75</v>
      </c>
      <c r="U32" s="34">
        <v>2</v>
      </c>
      <c r="V32" s="34">
        <v>7</v>
      </c>
      <c r="W32" s="35">
        <v>1.1000000000000001</v>
      </c>
      <c r="X32" s="174" t="s">
        <v>75</v>
      </c>
      <c r="Y32" s="175" t="s">
        <v>75</v>
      </c>
      <c r="Z32" s="175" t="s">
        <v>75</v>
      </c>
      <c r="AA32" s="175" t="s">
        <v>75</v>
      </c>
      <c r="AB32" s="175" t="s">
        <v>75</v>
      </c>
      <c r="AC32" s="176" t="s">
        <v>75</v>
      </c>
    </row>
    <row r="33" spans="1:29" s="3" customFormat="1" ht="12" x14ac:dyDescent="0.2">
      <c r="A33" s="36">
        <v>1</v>
      </c>
      <c r="B33" s="39" t="s">
        <v>29</v>
      </c>
      <c r="C33" s="37">
        <v>1</v>
      </c>
      <c r="D33" s="38">
        <v>0.01</v>
      </c>
      <c r="E33" s="38">
        <v>0.03</v>
      </c>
      <c r="F33" s="38">
        <v>0.1</v>
      </c>
      <c r="G33" s="38">
        <v>0.3</v>
      </c>
      <c r="H33" s="38">
        <v>1</v>
      </c>
      <c r="I33" s="32" t="s">
        <v>75</v>
      </c>
      <c r="J33" s="38">
        <v>3</v>
      </c>
      <c r="K33" s="32" t="s">
        <v>75</v>
      </c>
      <c r="L33" s="38">
        <v>10</v>
      </c>
      <c r="M33" s="34">
        <v>5.0000000000000001E-3</v>
      </c>
      <c r="N33" s="34">
        <v>0.01</v>
      </c>
      <c r="O33" s="34">
        <v>1.7000000000000001E-2</v>
      </c>
      <c r="P33" s="34">
        <v>3.4000000000000002E-2</v>
      </c>
      <c r="Q33" s="34">
        <v>5.3999999999999999E-2</v>
      </c>
      <c r="R33" s="34">
        <v>0.1</v>
      </c>
      <c r="S33" s="34">
        <v>0.2</v>
      </c>
      <c r="T33" s="34">
        <v>0.5</v>
      </c>
      <c r="U33" s="34">
        <v>2</v>
      </c>
      <c r="V33" s="34">
        <v>4.5</v>
      </c>
      <c r="W33" s="35">
        <v>0.9</v>
      </c>
      <c r="X33" s="174" t="s">
        <v>75</v>
      </c>
      <c r="Y33" s="175" t="s">
        <v>75</v>
      </c>
      <c r="Z33" s="175" t="s">
        <v>75</v>
      </c>
      <c r="AA33" s="175" t="s">
        <v>75</v>
      </c>
      <c r="AB33" s="175" t="s">
        <v>75</v>
      </c>
      <c r="AC33" s="176" t="s">
        <v>75</v>
      </c>
    </row>
    <row r="34" spans="1:29" s="3" customFormat="1" ht="12" x14ac:dyDescent="0.2">
      <c r="A34" s="36">
        <v>500</v>
      </c>
      <c r="B34" s="39" t="s">
        <v>2</v>
      </c>
      <c r="C34" s="37">
        <v>0.5</v>
      </c>
      <c r="D34" s="38">
        <v>8.0000000000000002E-3</v>
      </c>
      <c r="E34" s="38">
        <v>2.5000000000000001E-2</v>
      </c>
      <c r="F34" s="38">
        <v>0.08</v>
      </c>
      <c r="G34" s="38">
        <v>0.25</v>
      </c>
      <c r="H34" s="38">
        <v>0.8</v>
      </c>
      <c r="I34" s="32" t="s">
        <v>75</v>
      </c>
      <c r="J34" s="38">
        <v>2.5</v>
      </c>
      <c r="K34" s="32" t="s">
        <v>75</v>
      </c>
      <c r="L34" s="32" t="s">
        <v>75</v>
      </c>
      <c r="M34" s="34">
        <v>2E-3</v>
      </c>
      <c r="N34" s="34">
        <v>3.0000000000000001E-3</v>
      </c>
      <c r="O34" s="34">
        <v>5.0000000000000001E-3</v>
      </c>
      <c r="P34" s="34">
        <v>0.01</v>
      </c>
      <c r="Q34" s="34">
        <v>2.5000000000000001E-2</v>
      </c>
      <c r="R34" s="34">
        <v>0.08</v>
      </c>
      <c r="S34" s="34">
        <v>0.16</v>
      </c>
      <c r="T34" s="34">
        <v>0.38</v>
      </c>
      <c r="U34" s="34">
        <v>1</v>
      </c>
      <c r="V34" s="34">
        <v>3</v>
      </c>
      <c r="W34" s="35">
        <v>0.72</v>
      </c>
      <c r="X34" s="174" t="s">
        <v>75</v>
      </c>
      <c r="Y34" s="175" t="s">
        <v>75</v>
      </c>
      <c r="Z34" s="175" t="s">
        <v>75</v>
      </c>
      <c r="AA34" s="175" t="s">
        <v>75</v>
      </c>
      <c r="AB34" s="175" t="s">
        <v>75</v>
      </c>
      <c r="AC34" s="176" t="s">
        <v>75</v>
      </c>
    </row>
    <row r="35" spans="1:29" s="3" customFormat="1" ht="12" x14ac:dyDescent="0.2">
      <c r="A35" s="30">
        <v>300</v>
      </c>
      <c r="B35" s="39" t="s">
        <v>2</v>
      </c>
      <c r="C35" s="31">
        <v>0.3</v>
      </c>
      <c r="D35" s="32" t="s">
        <v>75</v>
      </c>
      <c r="E35" s="32" t="s">
        <v>75</v>
      </c>
      <c r="F35" s="32" t="s">
        <v>75</v>
      </c>
      <c r="G35" s="32" t="s">
        <v>75</v>
      </c>
      <c r="H35" s="32" t="s">
        <v>75</v>
      </c>
      <c r="I35" s="32" t="s">
        <v>75</v>
      </c>
      <c r="J35" s="32" t="s">
        <v>75</v>
      </c>
      <c r="K35" s="32" t="s">
        <v>75</v>
      </c>
      <c r="L35" s="32" t="s">
        <v>75</v>
      </c>
      <c r="M35" s="34">
        <v>2E-3</v>
      </c>
      <c r="N35" s="34">
        <v>3.0000000000000001E-3</v>
      </c>
      <c r="O35" s="34">
        <v>5.0000000000000001E-3</v>
      </c>
      <c r="P35" s="34">
        <v>0.01</v>
      </c>
      <c r="Q35" s="34">
        <v>2.5000000000000001E-2</v>
      </c>
      <c r="R35" s="34">
        <v>7.0000000000000007E-2</v>
      </c>
      <c r="S35" s="34">
        <v>0.14000000000000001</v>
      </c>
      <c r="T35" s="34">
        <v>0.3</v>
      </c>
      <c r="U35" s="34">
        <v>1</v>
      </c>
      <c r="V35" s="34">
        <v>2.2000000000000002</v>
      </c>
      <c r="W35" s="35">
        <v>0.61</v>
      </c>
      <c r="X35" s="174" t="s">
        <v>75</v>
      </c>
      <c r="Y35" s="175" t="s">
        <v>75</v>
      </c>
      <c r="Z35" s="175" t="s">
        <v>75</v>
      </c>
      <c r="AA35" s="175" t="s">
        <v>75</v>
      </c>
      <c r="AB35" s="175" t="s">
        <v>75</v>
      </c>
      <c r="AC35" s="176" t="s">
        <v>75</v>
      </c>
    </row>
    <row r="36" spans="1:29" s="3" customFormat="1" ht="12" x14ac:dyDescent="0.2">
      <c r="A36" s="36">
        <v>200</v>
      </c>
      <c r="B36" s="39" t="s">
        <v>2</v>
      </c>
      <c r="C36" s="37">
        <v>0.2</v>
      </c>
      <c r="D36" s="38">
        <v>6.0000000000000001E-3</v>
      </c>
      <c r="E36" s="38">
        <v>0.02</v>
      </c>
      <c r="F36" s="38">
        <v>0.06</v>
      </c>
      <c r="G36" s="38">
        <v>0.2</v>
      </c>
      <c r="H36" s="38">
        <v>0.6</v>
      </c>
      <c r="I36" s="32" t="s">
        <v>75</v>
      </c>
      <c r="J36" s="38">
        <v>2</v>
      </c>
      <c r="K36" s="32" t="s">
        <v>75</v>
      </c>
      <c r="L36" s="32" t="s">
        <v>75</v>
      </c>
      <c r="M36" s="34">
        <v>2E-3</v>
      </c>
      <c r="N36" s="34">
        <v>3.0000000000000001E-3</v>
      </c>
      <c r="O36" s="34">
        <v>5.0000000000000001E-3</v>
      </c>
      <c r="P36" s="34">
        <v>0.01</v>
      </c>
      <c r="Q36" s="34">
        <v>2.5000000000000001E-2</v>
      </c>
      <c r="R36" s="34">
        <v>0.06</v>
      </c>
      <c r="S36" s="34">
        <v>0.12</v>
      </c>
      <c r="T36" s="34">
        <v>0.26</v>
      </c>
      <c r="U36" s="34">
        <v>1</v>
      </c>
      <c r="V36" s="34">
        <v>1.8</v>
      </c>
      <c r="W36" s="35">
        <v>0.54</v>
      </c>
      <c r="X36" s="174" t="s">
        <v>75</v>
      </c>
      <c r="Y36" s="175" t="s">
        <v>75</v>
      </c>
      <c r="Z36" s="175" t="s">
        <v>75</v>
      </c>
      <c r="AA36" s="175" t="s">
        <v>75</v>
      </c>
      <c r="AB36" s="175" t="s">
        <v>75</v>
      </c>
      <c r="AC36" s="176" t="s">
        <v>75</v>
      </c>
    </row>
    <row r="37" spans="1:29" s="3" customFormat="1" ht="12" x14ac:dyDescent="0.2">
      <c r="A37" s="36">
        <v>100</v>
      </c>
      <c r="B37" s="39" t="s">
        <v>2</v>
      </c>
      <c r="C37" s="37">
        <v>0.1</v>
      </c>
      <c r="D37" s="38">
        <v>5.0000000000000001E-3</v>
      </c>
      <c r="E37" s="38">
        <v>1.6E-2</v>
      </c>
      <c r="F37" s="38">
        <v>0.05</v>
      </c>
      <c r="G37" s="38">
        <v>0.16</v>
      </c>
      <c r="H37" s="38">
        <v>0.5</v>
      </c>
      <c r="I37" s="32" t="s">
        <v>75</v>
      </c>
      <c r="J37" s="38">
        <v>1.6</v>
      </c>
      <c r="K37" s="32" t="s">
        <v>75</v>
      </c>
      <c r="L37" s="32" t="s">
        <v>75</v>
      </c>
      <c r="M37" s="34">
        <v>2E-3</v>
      </c>
      <c r="N37" s="34">
        <v>3.0000000000000001E-3</v>
      </c>
      <c r="O37" s="34">
        <v>5.0000000000000001E-3</v>
      </c>
      <c r="P37" s="34">
        <v>0.01</v>
      </c>
      <c r="Q37" s="34">
        <v>2.5000000000000001E-2</v>
      </c>
      <c r="R37" s="34">
        <v>0.05</v>
      </c>
      <c r="S37" s="34">
        <v>0.1</v>
      </c>
      <c r="T37" s="34">
        <v>0.2</v>
      </c>
      <c r="U37" s="34">
        <v>1</v>
      </c>
      <c r="V37" s="34">
        <v>1.2</v>
      </c>
      <c r="W37" s="35">
        <v>0.43</v>
      </c>
      <c r="X37" s="174" t="s">
        <v>75</v>
      </c>
      <c r="Y37" s="175" t="s">
        <v>75</v>
      </c>
      <c r="Z37" s="175" t="s">
        <v>75</v>
      </c>
      <c r="AA37" s="175" t="s">
        <v>75</v>
      </c>
      <c r="AB37" s="175" t="s">
        <v>75</v>
      </c>
      <c r="AC37" s="176" t="s">
        <v>75</v>
      </c>
    </row>
    <row r="38" spans="1:29" s="3" customFormat="1" ht="12" x14ac:dyDescent="0.2">
      <c r="A38" s="36">
        <v>50</v>
      </c>
      <c r="B38" s="39" t="s">
        <v>2</v>
      </c>
      <c r="C38" s="37">
        <v>0.05</v>
      </c>
      <c r="D38" s="38">
        <v>4.0000000000000001E-3</v>
      </c>
      <c r="E38" s="38">
        <v>1.2E-2</v>
      </c>
      <c r="F38" s="38">
        <v>0.04</v>
      </c>
      <c r="G38" s="38">
        <v>0.12</v>
      </c>
      <c r="H38" s="38">
        <v>0.4</v>
      </c>
      <c r="I38" s="32" t="s">
        <v>75</v>
      </c>
      <c r="J38" s="32" t="s">
        <v>75</v>
      </c>
      <c r="K38" s="32" t="s">
        <v>75</v>
      </c>
      <c r="L38" s="32" t="s">
        <v>75</v>
      </c>
      <c r="M38" s="34">
        <v>2E-3</v>
      </c>
      <c r="N38" s="34">
        <v>3.0000000000000001E-3</v>
      </c>
      <c r="O38" s="34">
        <v>5.0000000000000001E-3</v>
      </c>
      <c r="P38" s="34">
        <v>0.01</v>
      </c>
      <c r="Q38" s="34">
        <v>1.4E-2</v>
      </c>
      <c r="R38" s="34">
        <v>4.2000000000000003E-2</v>
      </c>
      <c r="S38" s="34">
        <v>8.5000000000000006E-2</v>
      </c>
      <c r="T38" s="34">
        <v>0.16</v>
      </c>
      <c r="U38" s="45" t="s">
        <v>75</v>
      </c>
      <c r="V38" s="34">
        <v>0.88</v>
      </c>
      <c r="W38" s="35">
        <v>0.35</v>
      </c>
      <c r="X38" s="174" t="s">
        <v>75</v>
      </c>
      <c r="Y38" s="175" t="s">
        <v>75</v>
      </c>
      <c r="Z38" s="175" t="s">
        <v>75</v>
      </c>
      <c r="AA38" s="175" t="s">
        <v>75</v>
      </c>
      <c r="AB38" s="175" t="s">
        <v>75</v>
      </c>
      <c r="AC38" s="176" t="s">
        <v>75</v>
      </c>
    </row>
    <row r="39" spans="1:29" s="3" customFormat="1" ht="12" x14ac:dyDescent="0.2">
      <c r="A39" s="30">
        <v>30</v>
      </c>
      <c r="B39" s="39" t="s">
        <v>2</v>
      </c>
      <c r="C39" s="31">
        <v>0.03</v>
      </c>
      <c r="D39" s="32" t="s">
        <v>75</v>
      </c>
      <c r="E39" s="32" t="s">
        <v>75</v>
      </c>
      <c r="F39" s="32" t="s">
        <v>75</v>
      </c>
      <c r="G39" s="32" t="s">
        <v>75</v>
      </c>
      <c r="H39" s="32" t="s">
        <v>75</v>
      </c>
      <c r="I39" s="32" t="s">
        <v>75</v>
      </c>
      <c r="J39" s="32" t="s">
        <v>75</v>
      </c>
      <c r="K39" s="32" t="s">
        <v>75</v>
      </c>
      <c r="L39" s="32" t="s">
        <v>75</v>
      </c>
      <c r="M39" s="34">
        <v>2E-3</v>
      </c>
      <c r="N39" s="34">
        <v>3.0000000000000001E-3</v>
      </c>
      <c r="O39" s="34">
        <v>5.0000000000000001E-3</v>
      </c>
      <c r="P39" s="34">
        <v>0.01</v>
      </c>
      <c r="Q39" s="34">
        <v>1.4E-2</v>
      </c>
      <c r="R39" s="34">
        <v>3.7999999999999999E-2</v>
      </c>
      <c r="S39" s="34">
        <v>7.4999999999999997E-2</v>
      </c>
      <c r="T39" s="34">
        <v>0.14000000000000001</v>
      </c>
      <c r="U39" s="45" t="s">
        <v>75</v>
      </c>
      <c r="V39" s="34">
        <v>0.68</v>
      </c>
      <c r="W39" s="35">
        <v>0.3</v>
      </c>
      <c r="X39" s="174" t="s">
        <v>75</v>
      </c>
      <c r="Y39" s="175" t="s">
        <v>75</v>
      </c>
      <c r="Z39" s="175" t="s">
        <v>75</v>
      </c>
      <c r="AA39" s="175" t="s">
        <v>75</v>
      </c>
      <c r="AB39" s="175" t="s">
        <v>75</v>
      </c>
      <c r="AC39" s="176" t="s">
        <v>75</v>
      </c>
    </row>
    <row r="40" spans="1:29" s="3" customFormat="1" ht="12" x14ac:dyDescent="0.2">
      <c r="A40" s="36">
        <v>20</v>
      </c>
      <c r="B40" s="39" t="s">
        <v>2</v>
      </c>
      <c r="C40" s="37">
        <v>0.02</v>
      </c>
      <c r="D40" s="38">
        <v>3.0000000000000001E-3</v>
      </c>
      <c r="E40" s="38">
        <v>0.01</v>
      </c>
      <c r="F40" s="38">
        <v>0.03</v>
      </c>
      <c r="G40" s="38">
        <v>0.1</v>
      </c>
      <c r="H40" s="38">
        <v>0.3</v>
      </c>
      <c r="I40" s="32" t="s">
        <v>75</v>
      </c>
      <c r="J40" s="32" t="s">
        <v>75</v>
      </c>
      <c r="K40" s="32" t="s">
        <v>75</v>
      </c>
      <c r="L40" s="32" t="s">
        <v>75</v>
      </c>
      <c r="M40" s="34">
        <v>2E-3</v>
      </c>
      <c r="N40" s="34">
        <v>3.0000000000000001E-3</v>
      </c>
      <c r="O40" s="34">
        <v>5.0000000000000001E-3</v>
      </c>
      <c r="P40" s="34">
        <v>0.01</v>
      </c>
      <c r="Q40" s="34">
        <v>1.4E-2</v>
      </c>
      <c r="R40" s="34">
        <v>3.5000000000000003E-2</v>
      </c>
      <c r="S40" s="34">
        <v>7.0000000000000007E-2</v>
      </c>
      <c r="T40" s="34">
        <v>0.12</v>
      </c>
      <c r="U40" s="45" t="s">
        <v>75</v>
      </c>
      <c r="V40" s="34">
        <v>0.56000000000000005</v>
      </c>
      <c r="W40" s="35">
        <v>0.26</v>
      </c>
      <c r="X40" s="174" t="s">
        <v>75</v>
      </c>
      <c r="Y40" s="175" t="s">
        <v>75</v>
      </c>
      <c r="Z40" s="175" t="s">
        <v>75</v>
      </c>
      <c r="AA40" s="175" t="s">
        <v>75</v>
      </c>
      <c r="AB40" s="175" t="s">
        <v>75</v>
      </c>
      <c r="AC40" s="176" t="s">
        <v>75</v>
      </c>
    </row>
    <row r="41" spans="1:29" s="3" customFormat="1" ht="12" x14ac:dyDescent="0.2">
      <c r="A41" s="36">
        <v>10</v>
      </c>
      <c r="B41" s="39" t="s">
        <v>2</v>
      </c>
      <c r="C41" s="37">
        <v>0.01</v>
      </c>
      <c r="D41" s="38">
        <v>3.0000000000000001E-3</v>
      </c>
      <c r="E41" s="38">
        <v>8.0000000000000002E-3</v>
      </c>
      <c r="F41" s="38">
        <v>2.5000000000000001E-2</v>
      </c>
      <c r="G41" s="38">
        <v>0.08</v>
      </c>
      <c r="H41" s="38">
        <v>0.25</v>
      </c>
      <c r="I41" s="32" t="s">
        <v>75</v>
      </c>
      <c r="J41" s="32" t="s">
        <v>75</v>
      </c>
      <c r="K41" s="32" t="s">
        <v>75</v>
      </c>
      <c r="L41" s="32" t="s">
        <v>75</v>
      </c>
      <c r="M41" s="34">
        <v>2E-3</v>
      </c>
      <c r="N41" s="34">
        <v>3.0000000000000001E-3</v>
      </c>
      <c r="O41" s="34">
        <v>5.0000000000000001E-3</v>
      </c>
      <c r="P41" s="34">
        <v>0.01</v>
      </c>
      <c r="Q41" s="34">
        <v>1.4E-2</v>
      </c>
      <c r="R41" s="34">
        <v>0.03</v>
      </c>
      <c r="S41" s="34">
        <v>0.06</v>
      </c>
      <c r="T41" s="34">
        <v>0.1</v>
      </c>
      <c r="U41" s="45" t="s">
        <v>75</v>
      </c>
      <c r="V41" s="34">
        <v>0.4</v>
      </c>
      <c r="W41" s="35">
        <v>0.21</v>
      </c>
      <c r="X41" s="174" t="s">
        <v>75</v>
      </c>
      <c r="Y41" s="175" t="s">
        <v>75</v>
      </c>
      <c r="Z41" s="175" t="s">
        <v>75</v>
      </c>
      <c r="AA41" s="175" t="s">
        <v>75</v>
      </c>
      <c r="AB41" s="175" t="s">
        <v>75</v>
      </c>
      <c r="AC41" s="176" t="s">
        <v>75</v>
      </c>
    </row>
    <row r="42" spans="1:29" s="3" customFormat="1" ht="12" x14ac:dyDescent="0.2">
      <c r="A42" s="36">
        <v>5</v>
      </c>
      <c r="B42" s="39" t="s">
        <v>2</v>
      </c>
      <c r="C42" s="37">
        <v>5.0000000000000001E-3</v>
      </c>
      <c r="D42" s="38">
        <v>3.0000000000000001E-3</v>
      </c>
      <c r="E42" s="38">
        <v>6.0000000000000001E-3</v>
      </c>
      <c r="F42" s="38">
        <v>0.02</v>
      </c>
      <c r="G42" s="38">
        <v>0.06</v>
      </c>
      <c r="H42" s="38">
        <v>0.2</v>
      </c>
      <c r="I42" s="32" t="s">
        <v>75</v>
      </c>
      <c r="J42" s="32" t="s">
        <v>75</v>
      </c>
      <c r="K42" s="32" t="s">
        <v>75</v>
      </c>
      <c r="L42" s="32" t="s">
        <v>75</v>
      </c>
      <c r="M42" s="34">
        <v>2E-3</v>
      </c>
      <c r="N42" s="34">
        <v>3.0000000000000001E-3</v>
      </c>
      <c r="O42" s="34">
        <v>5.0000000000000001E-3</v>
      </c>
      <c r="P42" s="34">
        <v>0.01</v>
      </c>
      <c r="Q42" s="34">
        <v>1.4E-2</v>
      </c>
      <c r="R42" s="34">
        <v>2.8000000000000001E-2</v>
      </c>
      <c r="S42" s="34">
        <v>5.5E-2</v>
      </c>
      <c r="T42" s="34">
        <v>0.08</v>
      </c>
      <c r="U42" s="45" t="s">
        <v>75</v>
      </c>
      <c r="V42" s="45" t="s">
        <v>75</v>
      </c>
      <c r="W42" s="35">
        <v>0.17</v>
      </c>
      <c r="X42" s="174" t="s">
        <v>75</v>
      </c>
      <c r="Y42" s="175" t="s">
        <v>75</v>
      </c>
      <c r="Z42" s="175" t="s">
        <v>75</v>
      </c>
      <c r="AA42" s="175" t="s">
        <v>75</v>
      </c>
      <c r="AB42" s="175" t="s">
        <v>75</v>
      </c>
      <c r="AC42" s="176" t="s">
        <v>75</v>
      </c>
    </row>
    <row r="43" spans="1:29" s="3" customFormat="1" ht="12" x14ac:dyDescent="0.2">
      <c r="A43" s="30">
        <v>3</v>
      </c>
      <c r="B43" s="39" t="s">
        <v>2</v>
      </c>
      <c r="C43" s="31">
        <v>3.0000000000000001E-3</v>
      </c>
      <c r="D43" s="32" t="s">
        <v>75</v>
      </c>
      <c r="E43" s="32" t="s">
        <v>75</v>
      </c>
      <c r="F43" s="32" t="s">
        <v>75</v>
      </c>
      <c r="G43" s="32" t="s">
        <v>75</v>
      </c>
      <c r="H43" s="32" t="s">
        <v>75</v>
      </c>
      <c r="I43" s="32" t="s">
        <v>75</v>
      </c>
      <c r="J43" s="32" t="s">
        <v>75</v>
      </c>
      <c r="K43" s="32" t="s">
        <v>75</v>
      </c>
      <c r="L43" s="32" t="s">
        <v>75</v>
      </c>
      <c r="M43" s="34">
        <v>2E-3</v>
      </c>
      <c r="N43" s="34">
        <v>3.0000000000000001E-3</v>
      </c>
      <c r="O43" s="34">
        <v>5.0000000000000001E-3</v>
      </c>
      <c r="P43" s="34">
        <v>0.01</v>
      </c>
      <c r="Q43" s="34">
        <v>1.4E-2</v>
      </c>
      <c r="R43" s="34">
        <v>2.5999999999999999E-2</v>
      </c>
      <c r="S43" s="34">
        <v>5.1999999999999998E-2</v>
      </c>
      <c r="T43" s="34">
        <v>7.0000000000000007E-2</v>
      </c>
      <c r="U43" s="45" t="s">
        <v>75</v>
      </c>
      <c r="V43" s="45" t="s">
        <v>75</v>
      </c>
      <c r="W43" s="35">
        <v>0.14000000000000001</v>
      </c>
      <c r="X43" s="174" t="s">
        <v>75</v>
      </c>
      <c r="Y43" s="175" t="s">
        <v>75</v>
      </c>
      <c r="Z43" s="175" t="s">
        <v>75</v>
      </c>
      <c r="AA43" s="175" t="s">
        <v>75</v>
      </c>
      <c r="AB43" s="175" t="s">
        <v>75</v>
      </c>
      <c r="AC43" s="176" t="s">
        <v>75</v>
      </c>
    </row>
    <row r="44" spans="1:29" s="3" customFormat="1" ht="12" x14ac:dyDescent="0.2">
      <c r="A44" s="36">
        <v>2</v>
      </c>
      <c r="B44" s="39" t="s">
        <v>2</v>
      </c>
      <c r="C44" s="37">
        <v>2E-3</v>
      </c>
      <c r="D44" s="38">
        <v>3.0000000000000001E-3</v>
      </c>
      <c r="E44" s="38">
        <v>6.0000000000000001E-3</v>
      </c>
      <c r="F44" s="38">
        <v>0.02</v>
      </c>
      <c r="G44" s="38">
        <v>0.06</v>
      </c>
      <c r="H44" s="38">
        <v>0.2</v>
      </c>
      <c r="I44" s="32" t="s">
        <v>75</v>
      </c>
      <c r="J44" s="32" t="s">
        <v>75</v>
      </c>
      <c r="K44" s="32" t="s">
        <v>75</v>
      </c>
      <c r="L44" s="32" t="s">
        <v>75</v>
      </c>
      <c r="M44" s="34">
        <v>2E-3</v>
      </c>
      <c r="N44" s="34">
        <v>3.0000000000000001E-3</v>
      </c>
      <c r="O44" s="34">
        <v>5.0000000000000001E-3</v>
      </c>
      <c r="P44" s="34">
        <v>0.01</v>
      </c>
      <c r="Q44" s="34">
        <v>1.4E-2</v>
      </c>
      <c r="R44" s="34">
        <v>2.5000000000000001E-2</v>
      </c>
      <c r="S44" s="34">
        <v>0.05</v>
      </c>
      <c r="T44" s="34">
        <v>0.06</v>
      </c>
      <c r="U44" s="45" t="s">
        <v>75</v>
      </c>
      <c r="V44" s="45" t="s">
        <v>75</v>
      </c>
      <c r="W44" s="35">
        <v>0.12</v>
      </c>
      <c r="X44" s="174" t="s">
        <v>75</v>
      </c>
      <c r="Y44" s="175" t="s">
        <v>75</v>
      </c>
      <c r="Z44" s="175" t="s">
        <v>75</v>
      </c>
      <c r="AA44" s="175" t="s">
        <v>75</v>
      </c>
      <c r="AB44" s="175" t="s">
        <v>75</v>
      </c>
      <c r="AC44" s="176" t="s">
        <v>75</v>
      </c>
    </row>
    <row r="45" spans="1:29" s="3" customFormat="1" ht="12" x14ac:dyDescent="0.2">
      <c r="A45" s="40">
        <v>1</v>
      </c>
      <c r="B45" s="39" t="s">
        <v>2</v>
      </c>
      <c r="C45" s="41">
        <v>1E-3</v>
      </c>
      <c r="D45" s="42">
        <v>3.0000000000000001E-3</v>
      </c>
      <c r="E45" s="42">
        <v>6.0000000000000001E-3</v>
      </c>
      <c r="F45" s="42">
        <v>0.02</v>
      </c>
      <c r="G45" s="42">
        <v>0.06</v>
      </c>
      <c r="H45" s="42">
        <v>0.2</v>
      </c>
      <c r="I45" s="32" t="s">
        <v>75</v>
      </c>
      <c r="J45" s="32" t="s">
        <v>75</v>
      </c>
      <c r="K45" s="32" t="s">
        <v>75</v>
      </c>
      <c r="L45" s="32" t="s">
        <v>75</v>
      </c>
      <c r="M45" s="34">
        <v>2E-3</v>
      </c>
      <c r="N45" s="34">
        <v>3.0000000000000001E-3</v>
      </c>
      <c r="O45" s="44">
        <v>5.0000000000000001E-3</v>
      </c>
      <c r="P45" s="44">
        <v>0.01</v>
      </c>
      <c r="Q45" s="44">
        <v>1.4E-2</v>
      </c>
      <c r="R45" s="44">
        <v>2.5000000000000001E-2</v>
      </c>
      <c r="S45" s="44">
        <v>0.05</v>
      </c>
      <c r="T45" s="44">
        <v>0.05</v>
      </c>
      <c r="U45" s="45" t="s">
        <v>75</v>
      </c>
      <c r="V45" s="45" t="s">
        <v>75</v>
      </c>
      <c r="W45" s="46">
        <v>0.1</v>
      </c>
      <c r="X45" s="174" t="s">
        <v>75</v>
      </c>
      <c r="Y45" s="175" t="s">
        <v>75</v>
      </c>
      <c r="Z45" s="175" t="s">
        <v>75</v>
      </c>
      <c r="AA45" s="175" t="s">
        <v>75</v>
      </c>
      <c r="AB45" s="175" t="s">
        <v>75</v>
      </c>
      <c r="AC45" s="176" t="s">
        <v>75</v>
      </c>
    </row>
    <row r="46" spans="1:29" s="3" customFormat="1" ht="12" x14ac:dyDescent="0.2">
      <c r="A46" s="40">
        <v>500</v>
      </c>
      <c r="B46" s="47" t="s">
        <v>30</v>
      </c>
      <c r="C46" s="41">
        <v>5.0000000000000001E-4</v>
      </c>
      <c r="D46" s="43" t="s">
        <v>75</v>
      </c>
      <c r="E46" s="43" t="s">
        <v>75</v>
      </c>
      <c r="F46" s="43" t="s">
        <v>75</v>
      </c>
      <c r="G46" s="43" t="s">
        <v>75</v>
      </c>
      <c r="H46" s="43" t="s">
        <v>75</v>
      </c>
      <c r="I46" s="43" t="s">
        <v>75</v>
      </c>
      <c r="J46" s="43" t="s">
        <v>75</v>
      </c>
      <c r="K46" s="43" t="s">
        <v>75</v>
      </c>
      <c r="L46" s="43" t="s">
        <v>75</v>
      </c>
      <c r="M46" s="34">
        <v>2E-3</v>
      </c>
      <c r="N46" s="34">
        <v>3.0000000000000001E-3</v>
      </c>
      <c r="O46" s="44">
        <v>5.0000000000000001E-3</v>
      </c>
      <c r="P46" s="44">
        <v>0.01</v>
      </c>
      <c r="Q46" s="44">
        <v>1.4E-2</v>
      </c>
      <c r="R46" s="44">
        <v>2.5000000000000001E-2</v>
      </c>
      <c r="S46" s="44">
        <v>0.05</v>
      </c>
      <c r="T46" s="44">
        <v>0.05</v>
      </c>
      <c r="U46" s="45" t="s">
        <v>75</v>
      </c>
      <c r="V46" s="45" t="s">
        <v>75</v>
      </c>
      <c r="W46" s="141" t="s">
        <v>75</v>
      </c>
      <c r="X46" s="174" t="s">
        <v>75</v>
      </c>
      <c r="Y46" s="175" t="s">
        <v>75</v>
      </c>
      <c r="Z46" s="175" t="s">
        <v>75</v>
      </c>
      <c r="AA46" s="175" t="s">
        <v>75</v>
      </c>
      <c r="AB46" s="175" t="s">
        <v>75</v>
      </c>
      <c r="AC46" s="176" t="s">
        <v>75</v>
      </c>
    </row>
    <row r="47" spans="1:29" s="3" customFormat="1" ht="12" x14ac:dyDescent="0.2">
      <c r="A47" s="40">
        <v>300</v>
      </c>
      <c r="B47" s="47" t="s">
        <v>30</v>
      </c>
      <c r="C47" s="41">
        <v>2.9999999999999997E-4</v>
      </c>
      <c r="D47" s="43" t="s">
        <v>75</v>
      </c>
      <c r="E47" s="43" t="s">
        <v>75</v>
      </c>
      <c r="F47" s="43" t="s">
        <v>75</v>
      </c>
      <c r="G47" s="43" t="s">
        <v>75</v>
      </c>
      <c r="H47" s="43" t="s">
        <v>75</v>
      </c>
      <c r="I47" s="43" t="s">
        <v>75</v>
      </c>
      <c r="J47" s="43" t="s">
        <v>75</v>
      </c>
      <c r="K47" s="43" t="s">
        <v>75</v>
      </c>
      <c r="L47" s="43" t="s">
        <v>75</v>
      </c>
      <c r="M47" s="34">
        <v>2E-3</v>
      </c>
      <c r="N47" s="34">
        <v>3.0000000000000001E-3</v>
      </c>
      <c r="O47" s="44">
        <v>5.0000000000000001E-3</v>
      </c>
      <c r="P47" s="44">
        <v>0.01</v>
      </c>
      <c r="Q47" s="44">
        <v>1.4E-2</v>
      </c>
      <c r="R47" s="44">
        <v>2.5000000000000001E-2</v>
      </c>
      <c r="S47" s="45" t="s">
        <v>75</v>
      </c>
      <c r="T47" s="45" t="s">
        <v>75</v>
      </c>
      <c r="U47" s="45" t="s">
        <v>75</v>
      </c>
      <c r="V47" s="45" t="s">
        <v>75</v>
      </c>
      <c r="W47" s="141" t="s">
        <v>75</v>
      </c>
      <c r="X47" s="174" t="s">
        <v>75</v>
      </c>
      <c r="Y47" s="175" t="s">
        <v>75</v>
      </c>
      <c r="Z47" s="175" t="s">
        <v>75</v>
      </c>
      <c r="AA47" s="175" t="s">
        <v>75</v>
      </c>
      <c r="AB47" s="175" t="s">
        <v>75</v>
      </c>
      <c r="AC47" s="176" t="s">
        <v>75</v>
      </c>
    </row>
    <row r="48" spans="1:29" s="3" customFormat="1" ht="12" x14ac:dyDescent="0.2">
      <c r="A48" s="40">
        <v>200</v>
      </c>
      <c r="B48" s="47" t="s">
        <v>30</v>
      </c>
      <c r="C48" s="41">
        <v>2.0000000000000001E-4</v>
      </c>
      <c r="D48" s="43" t="s">
        <v>75</v>
      </c>
      <c r="E48" s="43" t="s">
        <v>75</v>
      </c>
      <c r="F48" s="43" t="s">
        <v>75</v>
      </c>
      <c r="G48" s="43" t="s">
        <v>75</v>
      </c>
      <c r="H48" s="43" t="s">
        <v>75</v>
      </c>
      <c r="I48" s="43" t="s">
        <v>75</v>
      </c>
      <c r="J48" s="43" t="s">
        <v>75</v>
      </c>
      <c r="K48" s="43" t="s">
        <v>75</v>
      </c>
      <c r="L48" s="43" t="s">
        <v>75</v>
      </c>
      <c r="M48" s="34">
        <v>2E-3</v>
      </c>
      <c r="N48" s="34">
        <v>3.0000000000000001E-3</v>
      </c>
      <c r="O48" s="44">
        <v>5.0000000000000001E-3</v>
      </c>
      <c r="P48" s="44">
        <v>0.01</v>
      </c>
      <c r="Q48" s="44">
        <v>1.4E-2</v>
      </c>
      <c r="R48" s="45" t="s">
        <v>75</v>
      </c>
      <c r="S48" s="45" t="s">
        <v>75</v>
      </c>
      <c r="T48" s="45" t="s">
        <v>75</v>
      </c>
      <c r="U48" s="45" t="s">
        <v>75</v>
      </c>
      <c r="V48" s="45" t="s">
        <v>75</v>
      </c>
      <c r="W48" s="141" t="s">
        <v>75</v>
      </c>
      <c r="X48" s="174" t="s">
        <v>75</v>
      </c>
      <c r="Y48" s="175" t="s">
        <v>75</v>
      </c>
      <c r="Z48" s="175" t="s">
        <v>75</v>
      </c>
      <c r="AA48" s="175" t="s">
        <v>75</v>
      </c>
      <c r="AB48" s="175" t="s">
        <v>75</v>
      </c>
      <c r="AC48" s="176" t="s">
        <v>75</v>
      </c>
    </row>
    <row r="49" spans="1:29" s="3" customFormat="1" ht="12" x14ac:dyDescent="0.2">
      <c r="A49" s="40">
        <v>100</v>
      </c>
      <c r="B49" s="47" t="s">
        <v>30</v>
      </c>
      <c r="C49" s="41">
        <v>1E-4</v>
      </c>
      <c r="D49" s="43" t="s">
        <v>75</v>
      </c>
      <c r="E49" s="43" t="s">
        <v>75</v>
      </c>
      <c r="F49" s="43" t="s">
        <v>75</v>
      </c>
      <c r="G49" s="43" t="s">
        <v>75</v>
      </c>
      <c r="H49" s="43" t="s">
        <v>75</v>
      </c>
      <c r="I49" s="43" t="s">
        <v>75</v>
      </c>
      <c r="J49" s="43" t="s">
        <v>75</v>
      </c>
      <c r="K49" s="43" t="s">
        <v>75</v>
      </c>
      <c r="L49" s="43" t="s">
        <v>75</v>
      </c>
      <c r="M49" s="34">
        <v>2E-3</v>
      </c>
      <c r="N49" s="34">
        <v>3.0000000000000001E-3</v>
      </c>
      <c r="O49" s="44">
        <v>5.0000000000000001E-3</v>
      </c>
      <c r="P49" s="44">
        <v>0.01</v>
      </c>
      <c r="Q49" s="45" t="s">
        <v>75</v>
      </c>
      <c r="R49" s="45" t="s">
        <v>75</v>
      </c>
      <c r="S49" s="45" t="s">
        <v>75</v>
      </c>
      <c r="T49" s="45" t="s">
        <v>75</v>
      </c>
      <c r="U49" s="45" t="s">
        <v>75</v>
      </c>
      <c r="V49" s="45" t="s">
        <v>75</v>
      </c>
      <c r="W49" s="141" t="s">
        <v>75</v>
      </c>
      <c r="X49" s="174" t="s">
        <v>75</v>
      </c>
      <c r="Y49" s="175" t="s">
        <v>75</v>
      </c>
      <c r="Z49" s="175" t="s">
        <v>75</v>
      </c>
      <c r="AA49" s="175" t="s">
        <v>75</v>
      </c>
      <c r="AB49" s="175" t="s">
        <v>75</v>
      </c>
      <c r="AC49" s="176" t="s">
        <v>75</v>
      </c>
    </row>
    <row r="50" spans="1:29" s="3" customFormat="1" ht="12.75" thickBot="1" x14ac:dyDescent="0.25">
      <c r="A50" s="48">
        <v>50</v>
      </c>
      <c r="B50" s="49" t="s">
        <v>30</v>
      </c>
      <c r="C50" s="50">
        <v>5.0000000000000002E-5</v>
      </c>
      <c r="D50" s="51" t="s">
        <v>75</v>
      </c>
      <c r="E50" s="51" t="s">
        <v>75</v>
      </c>
      <c r="F50" s="51" t="s">
        <v>75</v>
      </c>
      <c r="G50" s="51" t="s">
        <v>75</v>
      </c>
      <c r="H50" s="51" t="s">
        <v>75</v>
      </c>
      <c r="I50" s="51" t="s">
        <v>75</v>
      </c>
      <c r="J50" s="51" t="s">
        <v>75</v>
      </c>
      <c r="K50" s="51" t="s">
        <v>75</v>
      </c>
      <c r="L50" s="51" t="s">
        <v>75</v>
      </c>
      <c r="M50" s="52">
        <v>2E-3</v>
      </c>
      <c r="N50" s="52">
        <v>3.0000000000000001E-3</v>
      </c>
      <c r="O50" s="52">
        <v>5.0000000000000001E-3</v>
      </c>
      <c r="P50" s="53" t="s">
        <v>75</v>
      </c>
      <c r="Q50" s="53" t="s">
        <v>75</v>
      </c>
      <c r="R50" s="53" t="s">
        <v>75</v>
      </c>
      <c r="S50" s="53" t="s">
        <v>75</v>
      </c>
      <c r="T50" s="53" t="s">
        <v>75</v>
      </c>
      <c r="U50" s="53" t="s">
        <v>75</v>
      </c>
      <c r="V50" s="53" t="s">
        <v>75</v>
      </c>
      <c r="W50" s="141" t="s">
        <v>75</v>
      </c>
      <c r="X50" s="178" t="s">
        <v>75</v>
      </c>
      <c r="Y50" s="179" t="s">
        <v>75</v>
      </c>
      <c r="Z50" s="179" t="s">
        <v>75</v>
      </c>
      <c r="AA50" s="179" t="s">
        <v>75</v>
      </c>
      <c r="AB50" s="179" t="s">
        <v>75</v>
      </c>
      <c r="AC50" s="180" t="s">
        <v>75</v>
      </c>
    </row>
    <row r="51" spans="1:29" s="3" customFormat="1" ht="16.5" thickTop="1" x14ac:dyDescent="0.25">
      <c r="A51" s="217" t="s">
        <v>126</v>
      </c>
      <c r="B51" s="217"/>
      <c r="C51" s="217"/>
      <c r="D51" s="217"/>
      <c r="E51" s="217"/>
      <c r="F51" s="217"/>
      <c r="G51" s="217"/>
      <c r="H51" s="217"/>
      <c r="I51" s="217"/>
      <c r="J51" s="217"/>
      <c r="K51" s="217"/>
      <c r="L51" s="217"/>
      <c r="M51" s="217"/>
      <c r="N51" s="217"/>
      <c r="O51" s="217"/>
      <c r="P51" s="217"/>
      <c r="Q51" s="217"/>
      <c r="R51" s="217"/>
      <c r="S51" s="217"/>
      <c r="T51" s="217"/>
      <c r="U51" s="217"/>
      <c r="V51" s="217"/>
      <c r="W51" s="217"/>
      <c r="X51" s="2"/>
      <c r="Y51" s="2"/>
      <c r="Z51" s="2"/>
      <c r="AA51" s="2"/>
      <c r="AB51" s="2"/>
      <c r="AC51" s="2"/>
    </row>
    <row r="52" spans="1:29" ht="15.75" thickBot="1" x14ac:dyDescent="0.3"/>
    <row r="53" spans="1:29" ht="16.5" thickTop="1" thickBot="1" x14ac:dyDescent="0.3">
      <c r="A53" s="208" t="s">
        <v>17</v>
      </c>
      <c r="B53" s="209"/>
      <c r="C53" s="209"/>
      <c r="D53" s="209"/>
      <c r="E53" s="209"/>
      <c r="F53" s="209"/>
      <c r="G53" s="209"/>
      <c r="H53" s="209"/>
      <c r="I53" s="209"/>
      <c r="J53" s="209"/>
      <c r="K53" s="209"/>
      <c r="L53" s="209"/>
      <c r="M53" s="209"/>
      <c r="N53" s="209"/>
      <c r="O53" s="209"/>
      <c r="P53" s="209"/>
      <c r="Q53" s="209"/>
      <c r="R53" s="209"/>
      <c r="S53" s="209"/>
      <c r="T53" s="209"/>
      <c r="U53" s="209"/>
      <c r="V53" s="209"/>
      <c r="W53" s="210"/>
      <c r="X53" s="2"/>
      <c r="Y53" s="2"/>
      <c r="Z53" s="2"/>
      <c r="AA53" s="2"/>
      <c r="AB53" s="2"/>
      <c r="AC53" s="2"/>
    </row>
    <row r="54" spans="1:29" ht="15.75" thickTop="1" x14ac:dyDescent="0.25">
      <c r="A54" s="4"/>
      <c r="B54" s="5"/>
      <c r="C54" s="6"/>
      <c r="D54" s="211" t="s">
        <v>127</v>
      </c>
      <c r="E54" s="212"/>
      <c r="F54" s="212"/>
      <c r="G54" s="212"/>
      <c r="H54" s="212"/>
      <c r="I54" s="212"/>
      <c r="J54" s="212"/>
      <c r="K54" s="212"/>
      <c r="L54" s="213"/>
      <c r="M54" s="214" t="s">
        <v>128</v>
      </c>
      <c r="N54" s="214"/>
      <c r="O54" s="214"/>
      <c r="P54" s="214"/>
      <c r="Q54" s="214"/>
      <c r="R54" s="214"/>
      <c r="S54" s="214"/>
      <c r="T54" s="214"/>
      <c r="U54" s="214"/>
      <c r="V54" s="215"/>
      <c r="W54" s="7" t="s">
        <v>129</v>
      </c>
      <c r="X54" s="194" t="s">
        <v>20</v>
      </c>
      <c r="Y54" s="195"/>
      <c r="Z54" s="195"/>
      <c r="AA54" s="195"/>
      <c r="AB54" s="195"/>
      <c r="AC54" s="8"/>
    </row>
    <row r="55" spans="1:29" ht="23.25" thickBot="1" x14ac:dyDescent="0.3">
      <c r="A55" s="9" t="s">
        <v>3</v>
      </c>
      <c r="B55" s="10" t="s">
        <v>21</v>
      </c>
      <c r="C55" s="10" t="s">
        <v>125</v>
      </c>
      <c r="D55" s="11" t="s">
        <v>77</v>
      </c>
      <c r="E55" s="11" t="s">
        <v>78</v>
      </c>
      <c r="F55" s="11" t="s">
        <v>79</v>
      </c>
      <c r="G55" s="11" t="s">
        <v>80</v>
      </c>
      <c r="H55" s="11" t="s">
        <v>81</v>
      </c>
      <c r="I55" s="11" t="s">
        <v>82</v>
      </c>
      <c r="J55" s="11" t="s">
        <v>83</v>
      </c>
      <c r="K55" s="11" t="s">
        <v>84</v>
      </c>
      <c r="L55" s="11" t="s">
        <v>85</v>
      </c>
      <c r="M55" s="60" t="s">
        <v>86</v>
      </c>
      <c r="N55" s="60" t="s">
        <v>87</v>
      </c>
      <c r="O55" s="61" t="s">
        <v>88</v>
      </c>
      <c r="P55" s="61" t="s">
        <v>89</v>
      </c>
      <c r="Q55" s="61" t="s">
        <v>90</v>
      </c>
      <c r="R55" s="61" t="s">
        <v>91</v>
      </c>
      <c r="S55" s="61" t="s">
        <v>92</v>
      </c>
      <c r="T55" s="61" t="s">
        <v>93</v>
      </c>
      <c r="U55" s="61" t="s">
        <v>94</v>
      </c>
      <c r="V55" s="61" t="s">
        <v>95</v>
      </c>
      <c r="W55" s="62" t="s">
        <v>96</v>
      </c>
      <c r="X55" s="12" t="s">
        <v>97</v>
      </c>
      <c r="Y55" s="13" t="s">
        <v>98</v>
      </c>
      <c r="Z55" s="13" t="s">
        <v>99</v>
      </c>
      <c r="AA55" s="13" t="s">
        <v>100</v>
      </c>
      <c r="AB55" s="13" t="s">
        <v>101</v>
      </c>
      <c r="AC55" s="14" t="s">
        <v>23</v>
      </c>
    </row>
    <row r="56" spans="1:29" ht="15.75" thickTop="1" x14ac:dyDescent="0.25">
      <c r="A56" s="36"/>
      <c r="B56" s="136" t="s">
        <v>120</v>
      </c>
      <c r="C56" s="137"/>
      <c r="D56" s="19">
        <v>1</v>
      </c>
      <c r="E56" s="19">
        <v>2</v>
      </c>
      <c r="F56" s="19">
        <v>3</v>
      </c>
      <c r="G56" s="19">
        <v>4</v>
      </c>
      <c r="H56" s="19">
        <v>5</v>
      </c>
      <c r="I56" s="19">
        <v>6</v>
      </c>
      <c r="J56" s="19">
        <v>7</v>
      </c>
      <c r="K56" s="19">
        <v>8</v>
      </c>
      <c r="L56" s="19">
        <v>9</v>
      </c>
      <c r="M56" s="19">
        <v>10</v>
      </c>
      <c r="N56" s="19">
        <v>11</v>
      </c>
      <c r="O56" s="19">
        <v>12</v>
      </c>
      <c r="P56" s="19">
        <v>13</v>
      </c>
      <c r="Q56" s="19">
        <v>14</v>
      </c>
      <c r="R56" s="19">
        <v>15</v>
      </c>
      <c r="S56" s="19">
        <v>16</v>
      </c>
      <c r="T56" s="19">
        <v>17</v>
      </c>
      <c r="U56" s="19">
        <v>18</v>
      </c>
      <c r="V56" s="19">
        <v>19</v>
      </c>
      <c r="W56" s="20">
        <v>20</v>
      </c>
      <c r="X56" s="21">
        <v>21</v>
      </c>
      <c r="Y56" s="19">
        <v>22</v>
      </c>
      <c r="Z56" s="19">
        <v>23</v>
      </c>
      <c r="AA56" s="19">
        <v>24</v>
      </c>
      <c r="AB56" s="19">
        <v>25</v>
      </c>
      <c r="AC56" s="20">
        <v>26</v>
      </c>
    </row>
    <row r="57" spans="1:29" x14ac:dyDescent="0.25">
      <c r="A57" s="36">
        <v>10000</v>
      </c>
      <c r="B57" s="136" t="s">
        <v>120</v>
      </c>
      <c r="C57" s="138">
        <v>10000</v>
      </c>
      <c r="D57" s="43" t="s">
        <v>75</v>
      </c>
      <c r="E57" s="43" t="s">
        <v>75</v>
      </c>
      <c r="F57" s="43" t="s">
        <v>75</v>
      </c>
      <c r="G57" s="43" t="s">
        <v>75</v>
      </c>
      <c r="H57" s="43" t="s">
        <v>75</v>
      </c>
      <c r="I57" s="43" t="s">
        <v>75</v>
      </c>
      <c r="J57" s="43" t="s">
        <v>75</v>
      </c>
      <c r="K57" s="43" t="s">
        <v>75</v>
      </c>
      <c r="L57" s="43" t="s">
        <v>75</v>
      </c>
      <c r="M57" s="33" t="s">
        <v>75</v>
      </c>
      <c r="N57" s="33" t="s">
        <v>75</v>
      </c>
      <c r="O57" s="33" t="s">
        <v>75</v>
      </c>
      <c r="P57" s="33" t="s">
        <v>75</v>
      </c>
      <c r="Q57" s="33" t="s">
        <v>75</v>
      </c>
      <c r="R57" s="33">
        <v>45000</v>
      </c>
      <c r="S57" s="33">
        <v>91000</v>
      </c>
      <c r="T57" s="33">
        <v>230000</v>
      </c>
      <c r="U57" s="33">
        <v>450000</v>
      </c>
      <c r="V57" s="33">
        <v>680000</v>
      </c>
      <c r="W57" s="35">
        <v>450000</v>
      </c>
      <c r="X57" s="174" t="s">
        <v>75</v>
      </c>
      <c r="Y57" s="175" t="s">
        <v>75</v>
      </c>
      <c r="Z57" s="175" t="s">
        <v>75</v>
      </c>
      <c r="AA57" s="175" t="s">
        <v>75</v>
      </c>
      <c r="AB57" s="175" t="s">
        <v>75</v>
      </c>
      <c r="AC57" s="176" t="s">
        <v>75</v>
      </c>
    </row>
    <row r="58" spans="1:29" x14ac:dyDescent="0.25">
      <c r="A58" s="36">
        <v>5000</v>
      </c>
      <c r="B58" s="136" t="s">
        <v>120</v>
      </c>
      <c r="C58" s="138">
        <v>5000</v>
      </c>
      <c r="D58" s="43" t="s">
        <v>75</v>
      </c>
      <c r="E58" s="43" t="s">
        <v>75</v>
      </c>
      <c r="F58" s="43" t="s">
        <v>75</v>
      </c>
      <c r="G58" s="43" t="s">
        <v>75</v>
      </c>
      <c r="H58" s="43" t="s">
        <v>75</v>
      </c>
      <c r="I58" s="43" t="s">
        <v>75</v>
      </c>
      <c r="J58" s="43" t="s">
        <v>75</v>
      </c>
      <c r="K58" s="43" t="s">
        <v>75</v>
      </c>
      <c r="L58" s="43" t="s">
        <v>75</v>
      </c>
      <c r="M58" s="33" t="s">
        <v>75</v>
      </c>
      <c r="N58" s="33" t="s">
        <v>75</v>
      </c>
      <c r="O58" s="33" t="s">
        <v>75</v>
      </c>
      <c r="P58" s="33" t="s">
        <v>75</v>
      </c>
      <c r="Q58" s="33" t="s">
        <v>75</v>
      </c>
      <c r="R58" s="33">
        <v>23000</v>
      </c>
      <c r="S58" s="33">
        <v>45000</v>
      </c>
      <c r="T58" s="33">
        <v>110000</v>
      </c>
      <c r="U58" s="33">
        <v>230000</v>
      </c>
      <c r="V58" s="33">
        <v>340000</v>
      </c>
      <c r="W58" s="35">
        <v>230000</v>
      </c>
      <c r="X58" s="174" t="s">
        <v>75</v>
      </c>
      <c r="Y58" s="175" t="s">
        <v>75</v>
      </c>
      <c r="Z58" s="175" t="s">
        <v>75</v>
      </c>
      <c r="AA58" s="175" t="s">
        <v>75</v>
      </c>
      <c r="AB58" s="175" t="s">
        <v>75</v>
      </c>
      <c r="AC58" s="176" t="s">
        <v>75</v>
      </c>
    </row>
    <row r="59" spans="1:29" x14ac:dyDescent="0.25">
      <c r="A59" s="36">
        <v>3000</v>
      </c>
      <c r="B59" s="136" t="s">
        <v>120</v>
      </c>
      <c r="C59" s="138">
        <v>3000</v>
      </c>
      <c r="D59" s="43" t="s">
        <v>75</v>
      </c>
      <c r="E59" s="43" t="s">
        <v>75</v>
      </c>
      <c r="F59" s="43" t="s">
        <v>75</v>
      </c>
      <c r="G59" s="43" t="s">
        <v>75</v>
      </c>
      <c r="H59" s="43" t="s">
        <v>75</v>
      </c>
      <c r="I59" s="43" t="s">
        <v>75</v>
      </c>
      <c r="J59" s="43" t="s">
        <v>75</v>
      </c>
      <c r="K59" s="43" t="s">
        <v>75</v>
      </c>
      <c r="L59" s="43" t="s">
        <v>75</v>
      </c>
      <c r="M59" s="33" t="s">
        <v>75</v>
      </c>
      <c r="N59" s="33" t="s">
        <v>75</v>
      </c>
      <c r="O59" s="33" t="s">
        <v>75</v>
      </c>
      <c r="P59" s="33" t="s">
        <v>75</v>
      </c>
      <c r="Q59" s="33" t="s">
        <v>75</v>
      </c>
      <c r="R59" s="33">
        <v>14000</v>
      </c>
      <c r="S59" s="33">
        <v>27000</v>
      </c>
      <c r="T59" s="33">
        <v>68000</v>
      </c>
      <c r="U59" s="33">
        <v>140000</v>
      </c>
      <c r="V59" s="33">
        <v>200000</v>
      </c>
      <c r="W59" s="35">
        <v>140000</v>
      </c>
      <c r="X59" s="174" t="s">
        <v>75</v>
      </c>
      <c r="Y59" s="175" t="s">
        <v>75</v>
      </c>
      <c r="Z59" s="175" t="s">
        <v>75</v>
      </c>
      <c r="AA59" s="175" t="s">
        <v>75</v>
      </c>
      <c r="AB59" s="175" t="s">
        <v>75</v>
      </c>
      <c r="AC59" s="176" t="s">
        <v>75</v>
      </c>
    </row>
    <row r="60" spans="1:29" x14ac:dyDescent="0.25">
      <c r="A60" s="36">
        <v>2500</v>
      </c>
      <c r="B60" s="136" t="s">
        <v>120</v>
      </c>
      <c r="C60" s="138">
        <v>2500</v>
      </c>
      <c r="D60" s="43" t="s">
        <v>75</v>
      </c>
      <c r="E60" s="43" t="s">
        <v>75</v>
      </c>
      <c r="F60" s="43" t="s">
        <v>75</v>
      </c>
      <c r="G60" s="43" t="s">
        <v>75</v>
      </c>
      <c r="H60" s="43" t="s">
        <v>75</v>
      </c>
      <c r="I60" s="43" t="s">
        <v>75</v>
      </c>
      <c r="J60" s="43" t="s">
        <v>75</v>
      </c>
      <c r="K60" s="43" t="s">
        <v>75</v>
      </c>
      <c r="L60" s="43" t="s">
        <v>75</v>
      </c>
      <c r="M60" s="33" t="s">
        <v>75</v>
      </c>
      <c r="N60" s="33" t="s">
        <v>75</v>
      </c>
      <c r="O60" s="33" t="s">
        <v>75</v>
      </c>
      <c r="P60" s="33" t="s">
        <v>75</v>
      </c>
      <c r="Q60" s="33" t="s">
        <v>75</v>
      </c>
      <c r="R60" s="33">
        <v>11000</v>
      </c>
      <c r="S60" s="33">
        <v>23000</v>
      </c>
      <c r="T60" s="33">
        <v>57000</v>
      </c>
      <c r="U60" s="33">
        <v>110000</v>
      </c>
      <c r="V60" s="33">
        <v>170000</v>
      </c>
      <c r="W60" s="35">
        <v>110000</v>
      </c>
      <c r="X60" s="174" t="s">
        <v>75</v>
      </c>
      <c r="Y60" s="175" t="s">
        <v>75</v>
      </c>
      <c r="Z60" s="175" t="s">
        <v>75</v>
      </c>
      <c r="AA60" s="175" t="s">
        <v>75</v>
      </c>
      <c r="AB60" s="175" t="s">
        <v>75</v>
      </c>
      <c r="AC60" s="176" t="s">
        <v>75</v>
      </c>
    </row>
    <row r="61" spans="1:29" x14ac:dyDescent="0.25">
      <c r="A61" s="36">
        <v>2000</v>
      </c>
      <c r="B61" s="136" t="s">
        <v>120</v>
      </c>
      <c r="C61" s="138">
        <v>2000</v>
      </c>
      <c r="D61" s="43" t="s">
        <v>75</v>
      </c>
      <c r="E61" s="43" t="s">
        <v>75</v>
      </c>
      <c r="F61" s="43" t="s">
        <v>75</v>
      </c>
      <c r="G61" s="43" t="s">
        <v>75</v>
      </c>
      <c r="H61" s="43" t="s">
        <v>75</v>
      </c>
      <c r="I61" s="43" t="s">
        <v>75</v>
      </c>
      <c r="J61" s="43" t="s">
        <v>75</v>
      </c>
      <c r="K61" s="43" t="s">
        <v>75</v>
      </c>
      <c r="L61" s="43" t="s">
        <v>75</v>
      </c>
      <c r="M61" s="33" t="s">
        <v>75</v>
      </c>
      <c r="N61" s="33" t="s">
        <v>75</v>
      </c>
      <c r="O61" s="33" t="s">
        <v>75</v>
      </c>
      <c r="P61" s="33" t="s">
        <v>75</v>
      </c>
      <c r="Q61" s="33" t="s">
        <v>75</v>
      </c>
      <c r="R61" s="33">
        <v>9100</v>
      </c>
      <c r="S61" s="33">
        <v>18000</v>
      </c>
      <c r="T61" s="33">
        <v>45000</v>
      </c>
      <c r="U61" s="33">
        <v>91000</v>
      </c>
      <c r="V61" s="33">
        <v>140000</v>
      </c>
      <c r="W61" s="35">
        <v>91000</v>
      </c>
      <c r="X61" s="174" t="s">
        <v>75</v>
      </c>
      <c r="Y61" s="175" t="s">
        <v>75</v>
      </c>
      <c r="Z61" s="175" t="s">
        <v>75</v>
      </c>
      <c r="AA61" s="175" t="s">
        <v>75</v>
      </c>
      <c r="AB61" s="175" t="s">
        <v>75</v>
      </c>
      <c r="AC61" s="176" t="s">
        <v>75</v>
      </c>
    </row>
    <row r="62" spans="1:29" x14ac:dyDescent="0.25">
      <c r="A62" s="36">
        <v>1000</v>
      </c>
      <c r="B62" s="136" t="s">
        <v>120</v>
      </c>
      <c r="C62" s="138">
        <v>1000</v>
      </c>
      <c r="D62" s="43" t="s">
        <v>75</v>
      </c>
      <c r="E62" s="43" t="s">
        <v>75</v>
      </c>
      <c r="F62" s="43" t="s">
        <v>75</v>
      </c>
      <c r="G62" s="43" t="s">
        <v>75</v>
      </c>
      <c r="H62" s="43" t="s">
        <v>75</v>
      </c>
      <c r="I62" s="43" t="s">
        <v>75</v>
      </c>
      <c r="J62" s="43" t="s">
        <v>75</v>
      </c>
      <c r="K62" s="43" t="s">
        <v>75</v>
      </c>
      <c r="L62" s="43" t="s">
        <v>75</v>
      </c>
      <c r="M62" s="33" t="s">
        <v>75</v>
      </c>
      <c r="N62" s="33" t="s">
        <v>75</v>
      </c>
      <c r="O62" s="33" t="s">
        <v>75</v>
      </c>
      <c r="P62" s="33" t="s">
        <v>75</v>
      </c>
      <c r="Q62" s="33" t="s">
        <v>75</v>
      </c>
      <c r="R62" s="33">
        <v>4500</v>
      </c>
      <c r="S62" s="33">
        <v>9100</v>
      </c>
      <c r="T62" s="33">
        <v>23000</v>
      </c>
      <c r="U62" s="33">
        <v>45000</v>
      </c>
      <c r="V62" s="33">
        <v>68000</v>
      </c>
      <c r="W62" s="35">
        <v>45000</v>
      </c>
      <c r="X62" s="174" t="s">
        <v>75</v>
      </c>
      <c r="Y62" s="175" t="s">
        <v>75</v>
      </c>
      <c r="Z62" s="175" t="s">
        <v>75</v>
      </c>
      <c r="AA62" s="175" t="s">
        <v>75</v>
      </c>
      <c r="AB62" s="175" t="s">
        <v>75</v>
      </c>
      <c r="AC62" s="176" t="s">
        <v>75</v>
      </c>
    </row>
    <row r="63" spans="1:29" x14ac:dyDescent="0.25">
      <c r="A63" s="36">
        <v>500</v>
      </c>
      <c r="B63" s="136" t="s">
        <v>120</v>
      </c>
      <c r="C63" s="138">
        <v>500</v>
      </c>
      <c r="D63" s="43" t="s">
        <v>75</v>
      </c>
      <c r="E63" s="43" t="s">
        <v>75</v>
      </c>
      <c r="F63" s="43" t="s">
        <v>75</v>
      </c>
      <c r="G63" s="43" t="s">
        <v>75</v>
      </c>
      <c r="H63" s="43" t="s">
        <v>75</v>
      </c>
      <c r="I63" s="43" t="s">
        <v>75</v>
      </c>
      <c r="J63" s="43" t="s">
        <v>75</v>
      </c>
      <c r="K63" s="43" t="s">
        <v>75</v>
      </c>
      <c r="L63" s="43" t="s">
        <v>75</v>
      </c>
      <c r="M63" s="33" t="s">
        <v>75</v>
      </c>
      <c r="N63" s="33" t="s">
        <v>75</v>
      </c>
      <c r="O63" s="33" t="s">
        <v>75</v>
      </c>
      <c r="P63" s="33" t="s">
        <v>75</v>
      </c>
      <c r="Q63" s="33" t="s">
        <v>75</v>
      </c>
      <c r="R63" s="33">
        <v>2300</v>
      </c>
      <c r="S63" s="33">
        <v>4500</v>
      </c>
      <c r="T63" s="33">
        <v>11000</v>
      </c>
      <c r="U63" s="33">
        <v>23000</v>
      </c>
      <c r="V63" s="33">
        <v>34000</v>
      </c>
      <c r="W63" s="35">
        <v>23000</v>
      </c>
      <c r="X63" s="174" t="s">
        <v>75</v>
      </c>
      <c r="Y63" s="175" t="s">
        <v>75</v>
      </c>
      <c r="Z63" s="175" t="s">
        <v>75</v>
      </c>
      <c r="AA63" s="175" t="s">
        <v>75</v>
      </c>
      <c r="AB63" s="175" t="s">
        <v>75</v>
      </c>
      <c r="AC63" s="176" t="s">
        <v>75</v>
      </c>
    </row>
    <row r="64" spans="1:29" x14ac:dyDescent="0.25">
      <c r="A64" s="36">
        <v>300</v>
      </c>
      <c r="B64" s="136" t="s">
        <v>120</v>
      </c>
      <c r="C64" s="138">
        <v>300</v>
      </c>
      <c r="D64" s="43" t="s">
        <v>75</v>
      </c>
      <c r="E64" s="43" t="s">
        <v>75</v>
      </c>
      <c r="F64" s="43" t="s">
        <v>75</v>
      </c>
      <c r="G64" s="43" t="s">
        <v>75</v>
      </c>
      <c r="H64" s="43" t="s">
        <v>75</v>
      </c>
      <c r="I64" s="43" t="s">
        <v>75</v>
      </c>
      <c r="J64" s="43" t="s">
        <v>75</v>
      </c>
      <c r="K64" s="43" t="s">
        <v>75</v>
      </c>
      <c r="L64" s="43" t="s">
        <v>75</v>
      </c>
      <c r="M64" s="33" t="s">
        <v>75</v>
      </c>
      <c r="N64" s="33" t="s">
        <v>75</v>
      </c>
      <c r="O64" s="33" t="s">
        <v>75</v>
      </c>
      <c r="P64" s="33" t="s">
        <v>75</v>
      </c>
      <c r="Q64" s="33" t="s">
        <v>75</v>
      </c>
      <c r="R64" s="33">
        <v>1400</v>
      </c>
      <c r="S64" s="33">
        <v>2700</v>
      </c>
      <c r="T64" s="33">
        <v>6800</v>
      </c>
      <c r="U64" s="33">
        <v>14000</v>
      </c>
      <c r="V64" s="33">
        <v>20000</v>
      </c>
      <c r="W64" s="35">
        <v>14000</v>
      </c>
      <c r="X64" s="174" t="s">
        <v>75</v>
      </c>
      <c r="Y64" s="175" t="s">
        <v>75</v>
      </c>
      <c r="Z64" s="175" t="s">
        <v>75</v>
      </c>
      <c r="AA64" s="175" t="s">
        <v>75</v>
      </c>
      <c r="AB64" s="175" t="s">
        <v>75</v>
      </c>
      <c r="AC64" s="176" t="s">
        <v>75</v>
      </c>
    </row>
    <row r="65" spans="1:29" x14ac:dyDescent="0.25">
      <c r="A65" s="36">
        <v>200</v>
      </c>
      <c r="B65" s="136" t="s">
        <v>120</v>
      </c>
      <c r="C65" s="138">
        <v>200</v>
      </c>
      <c r="D65" s="43" t="s">
        <v>75</v>
      </c>
      <c r="E65" s="43" t="s">
        <v>75</v>
      </c>
      <c r="F65" s="43" t="s">
        <v>75</v>
      </c>
      <c r="G65" s="43" t="s">
        <v>75</v>
      </c>
      <c r="H65" s="43" t="s">
        <v>75</v>
      </c>
      <c r="I65" s="43" t="s">
        <v>75</v>
      </c>
      <c r="J65" s="43" t="s">
        <v>75</v>
      </c>
      <c r="K65" s="43" t="s">
        <v>75</v>
      </c>
      <c r="L65" s="43" t="s">
        <v>75</v>
      </c>
      <c r="M65" s="33" t="s">
        <v>75</v>
      </c>
      <c r="N65" s="33" t="s">
        <v>75</v>
      </c>
      <c r="O65" s="33" t="s">
        <v>75</v>
      </c>
      <c r="P65" s="33" t="s">
        <v>75</v>
      </c>
      <c r="Q65" s="33" t="s">
        <v>75</v>
      </c>
      <c r="R65" s="33">
        <v>910</v>
      </c>
      <c r="S65" s="33">
        <v>1800</v>
      </c>
      <c r="T65" s="33">
        <v>4500</v>
      </c>
      <c r="U65" s="33">
        <v>9100</v>
      </c>
      <c r="V65" s="33">
        <v>14000</v>
      </c>
      <c r="W65" s="35">
        <v>9100</v>
      </c>
      <c r="X65" s="174" t="s">
        <v>75</v>
      </c>
      <c r="Y65" s="175" t="s">
        <v>75</v>
      </c>
      <c r="Z65" s="175" t="s">
        <v>75</v>
      </c>
      <c r="AA65" s="175" t="s">
        <v>75</v>
      </c>
      <c r="AB65" s="175" t="s">
        <v>75</v>
      </c>
      <c r="AC65" s="176" t="s">
        <v>75</v>
      </c>
    </row>
    <row r="66" spans="1:29" s="135" customFormat="1" x14ac:dyDescent="0.2">
      <c r="A66" s="36">
        <v>100</v>
      </c>
      <c r="B66" s="136" t="s">
        <v>120</v>
      </c>
      <c r="C66" s="138">
        <v>100</v>
      </c>
      <c r="D66" s="43" t="s">
        <v>75</v>
      </c>
      <c r="E66" s="43" t="s">
        <v>75</v>
      </c>
      <c r="F66" s="43" t="s">
        <v>75</v>
      </c>
      <c r="G66" s="43" t="s">
        <v>75</v>
      </c>
      <c r="H66" s="43" t="s">
        <v>75</v>
      </c>
      <c r="I66" s="43" t="s">
        <v>75</v>
      </c>
      <c r="J66" s="43" t="s">
        <v>75</v>
      </c>
      <c r="K66" s="43" t="s">
        <v>75</v>
      </c>
      <c r="L66" s="43" t="s">
        <v>75</v>
      </c>
      <c r="M66" s="33" t="s">
        <v>75</v>
      </c>
      <c r="N66" s="33" t="s">
        <v>75</v>
      </c>
      <c r="O66" s="33">
        <v>57</v>
      </c>
      <c r="P66" s="33">
        <v>110</v>
      </c>
      <c r="Q66" s="33">
        <v>230</v>
      </c>
      <c r="R66" s="33">
        <v>450</v>
      </c>
      <c r="S66" s="33">
        <v>910</v>
      </c>
      <c r="T66" s="33">
        <v>2300</v>
      </c>
      <c r="U66" s="33">
        <v>4500</v>
      </c>
      <c r="V66" s="33">
        <v>6800</v>
      </c>
      <c r="W66" s="35">
        <v>4500</v>
      </c>
      <c r="X66" s="174" t="s">
        <v>75</v>
      </c>
      <c r="Y66" s="175" t="s">
        <v>75</v>
      </c>
      <c r="Z66" s="175" t="s">
        <v>75</v>
      </c>
      <c r="AA66" s="175" t="s">
        <v>75</v>
      </c>
      <c r="AB66" s="175" t="s">
        <v>75</v>
      </c>
      <c r="AC66" s="176" t="s">
        <v>75</v>
      </c>
    </row>
    <row r="67" spans="1:29" s="135" customFormat="1" x14ac:dyDescent="0.2">
      <c r="A67" s="36">
        <v>50</v>
      </c>
      <c r="B67" s="136" t="s">
        <v>120</v>
      </c>
      <c r="C67" s="138">
        <v>50</v>
      </c>
      <c r="D67" s="43" t="s">
        <v>75</v>
      </c>
      <c r="E67" s="43" t="s">
        <v>75</v>
      </c>
      <c r="F67" s="43" t="s">
        <v>75</v>
      </c>
      <c r="G67" s="43" t="s">
        <v>75</v>
      </c>
      <c r="H67" s="43" t="s">
        <v>75</v>
      </c>
      <c r="I67" s="43" t="s">
        <v>75</v>
      </c>
      <c r="J67" s="43" t="s">
        <v>75</v>
      </c>
      <c r="K67" s="43" t="s">
        <v>75</v>
      </c>
      <c r="L67" s="43" t="s">
        <v>75</v>
      </c>
      <c r="M67" s="33" t="s">
        <v>75</v>
      </c>
      <c r="N67" s="33" t="s">
        <v>75</v>
      </c>
      <c r="O67" s="33">
        <v>29</v>
      </c>
      <c r="P67" s="33">
        <v>57</v>
      </c>
      <c r="Q67" s="33">
        <v>110</v>
      </c>
      <c r="R67" s="33">
        <v>230</v>
      </c>
      <c r="S67" s="33">
        <v>450</v>
      </c>
      <c r="T67" s="33">
        <v>1100</v>
      </c>
      <c r="U67" s="33">
        <v>2300</v>
      </c>
      <c r="V67" s="33">
        <v>4100</v>
      </c>
      <c r="W67" s="35">
        <v>2300</v>
      </c>
      <c r="X67" s="174" t="s">
        <v>75</v>
      </c>
      <c r="Y67" s="175" t="s">
        <v>75</v>
      </c>
      <c r="Z67" s="175" t="s">
        <v>75</v>
      </c>
      <c r="AA67" s="175" t="s">
        <v>75</v>
      </c>
      <c r="AB67" s="175" t="s">
        <v>75</v>
      </c>
      <c r="AC67" s="176" t="s">
        <v>75</v>
      </c>
    </row>
    <row r="68" spans="1:29" s="135" customFormat="1" x14ac:dyDescent="0.2">
      <c r="A68" s="36">
        <v>30</v>
      </c>
      <c r="B68" s="23" t="s">
        <v>120</v>
      </c>
      <c r="C68" s="138">
        <v>30</v>
      </c>
      <c r="D68" s="43" t="s">
        <v>75</v>
      </c>
      <c r="E68" s="43" t="s">
        <v>75</v>
      </c>
      <c r="F68" s="43" t="s">
        <v>75</v>
      </c>
      <c r="G68" s="43" t="s">
        <v>75</v>
      </c>
      <c r="H68" s="43" t="s">
        <v>75</v>
      </c>
      <c r="I68" s="43" t="s">
        <v>75</v>
      </c>
      <c r="J68" s="43" t="s">
        <v>75</v>
      </c>
      <c r="K68" s="43" t="s">
        <v>75</v>
      </c>
      <c r="L68" s="43" t="s">
        <v>75</v>
      </c>
      <c r="M68" s="33" t="s">
        <v>75</v>
      </c>
      <c r="N68" s="33" t="s">
        <v>75</v>
      </c>
      <c r="O68" s="33">
        <v>17</v>
      </c>
      <c r="P68" s="33">
        <v>32</v>
      </c>
      <c r="Q68" s="33">
        <v>68</v>
      </c>
      <c r="R68" s="33">
        <v>140</v>
      </c>
      <c r="S68" s="33">
        <v>270</v>
      </c>
      <c r="T68" s="33">
        <v>680</v>
      </c>
      <c r="U68" s="33">
        <v>1400</v>
      </c>
      <c r="V68" s="33">
        <v>2700</v>
      </c>
      <c r="W68" s="35">
        <v>1400</v>
      </c>
      <c r="X68" s="174" t="s">
        <v>75</v>
      </c>
      <c r="Y68" s="175" t="s">
        <v>75</v>
      </c>
      <c r="Z68" s="175" t="s">
        <v>75</v>
      </c>
      <c r="AA68" s="175" t="s">
        <v>75</v>
      </c>
      <c r="AB68" s="175" t="s">
        <v>75</v>
      </c>
      <c r="AC68" s="176" t="s">
        <v>75</v>
      </c>
    </row>
    <row r="69" spans="1:29" s="135" customFormat="1" x14ac:dyDescent="0.2">
      <c r="A69" s="36">
        <v>25</v>
      </c>
      <c r="B69" s="23" t="s">
        <v>120</v>
      </c>
      <c r="C69" s="138">
        <v>25</v>
      </c>
      <c r="D69" s="43" t="s">
        <v>75</v>
      </c>
      <c r="E69" s="43" t="s">
        <v>75</v>
      </c>
      <c r="F69" s="43" t="s">
        <v>75</v>
      </c>
      <c r="G69" s="43" t="s">
        <v>75</v>
      </c>
      <c r="H69" s="43" t="s">
        <v>75</v>
      </c>
      <c r="I69" s="43" t="s">
        <v>75</v>
      </c>
      <c r="J69" s="43" t="s">
        <v>75</v>
      </c>
      <c r="K69" s="43" t="s">
        <v>75</v>
      </c>
      <c r="L69" s="43" t="s">
        <v>75</v>
      </c>
      <c r="M69" s="33" t="s">
        <v>75</v>
      </c>
      <c r="N69" s="33" t="s">
        <v>75</v>
      </c>
      <c r="O69" s="33">
        <v>14</v>
      </c>
      <c r="P69" s="33">
        <v>28</v>
      </c>
      <c r="Q69" s="33">
        <v>57</v>
      </c>
      <c r="R69" s="33">
        <v>110</v>
      </c>
      <c r="S69" s="33">
        <v>230</v>
      </c>
      <c r="T69" s="33">
        <v>570</v>
      </c>
      <c r="U69" s="33">
        <v>1100</v>
      </c>
      <c r="V69" s="33">
        <v>2400</v>
      </c>
      <c r="W69" s="35">
        <v>1100</v>
      </c>
      <c r="X69" s="174" t="s">
        <v>75</v>
      </c>
      <c r="Y69" s="175" t="s">
        <v>75</v>
      </c>
      <c r="Z69" s="175" t="s">
        <v>75</v>
      </c>
      <c r="AA69" s="175" t="s">
        <v>75</v>
      </c>
      <c r="AB69" s="175" t="s">
        <v>75</v>
      </c>
      <c r="AC69" s="176" t="s">
        <v>75</v>
      </c>
    </row>
    <row r="70" spans="1:29" s="135" customFormat="1" x14ac:dyDescent="0.2">
      <c r="A70" s="36">
        <v>20</v>
      </c>
      <c r="B70" s="23" t="s">
        <v>120</v>
      </c>
      <c r="C70" s="138">
        <v>20</v>
      </c>
      <c r="D70" s="43" t="s">
        <v>75</v>
      </c>
      <c r="E70" s="43" t="s">
        <v>75</v>
      </c>
      <c r="F70" s="43" t="s">
        <v>75</v>
      </c>
      <c r="G70" s="43" t="s">
        <v>75</v>
      </c>
      <c r="H70" s="43" t="s">
        <v>75</v>
      </c>
      <c r="I70" s="43" t="s">
        <v>75</v>
      </c>
      <c r="J70" s="43" t="s">
        <v>75</v>
      </c>
      <c r="K70" s="43" t="s">
        <v>75</v>
      </c>
      <c r="L70" s="43" t="s">
        <v>75</v>
      </c>
      <c r="M70" s="33" t="s">
        <v>75</v>
      </c>
      <c r="N70" s="33" t="s">
        <v>75</v>
      </c>
      <c r="O70" s="33">
        <v>12</v>
      </c>
      <c r="P70" s="33">
        <v>23</v>
      </c>
      <c r="Q70" s="33">
        <v>45</v>
      </c>
      <c r="R70" s="33">
        <v>91</v>
      </c>
      <c r="S70" s="33">
        <v>180</v>
      </c>
      <c r="T70" s="33">
        <v>450</v>
      </c>
      <c r="U70" s="33">
        <v>910</v>
      </c>
      <c r="V70" s="33">
        <v>2000</v>
      </c>
      <c r="W70" s="35">
        <v>910</v>
      </c>
      <c r="X70" s="174" t="s">
        <v>75</v>
      </c>
      <c r="Y70" s="175" t="s">
        <v>75</v>
      </c>
      <c r="Z70" s="175" t="s">
        <v>75</v>
      </c>
      <c r="AA70" s="175" t="s">
        <v>75</v>
      </c>
      <c r="AB70" s="175" t="s">
        <v>75</v>
      </c>
      <c r="AC70" s="176" t="s">
        <v>75</v>
      </c>
    </row>
    <row r="71" spans="1:29" s="135" customFormat="1" x14ac:dyDescent="0.2">
      <c r="A71" s="36">
        <v>10</v>
      </c>
      <c r="B71" s="23" t="s">
        <v>120</v>
      </c>
      <c r="C71" s="138">
        <v>10</v>
      </c>
      <c r="D71" s="43" t="s">
        <v>75</v>
      </c>
      <c r="E71" s="43" t="s">
        <v>75</v>
      </c>
      <c r="F71" s="43" t="s">
        <v>75</v>
      </c>
      <c r="G71" s="43" t="s">
        <v>75</v>
      </c>
      <c r="H71" s="43" t="s">
        <v>75</v>
      </c>
      <c r="I71" s="43" t="s">
        <v>75</v>
      </c>
      <c r="J71" s="43" t="s">
        <v>75</v>
      </c>
      <c r="K71" s="43" t="s">
        <v>75</v>
      </c>
      <c r="L71" s="43" t="s">
        <v>75</v>
      </c>
      <c r="M71" s="33" t="s">
        <v>75</v>
      </c>
      <c r="N71" s="33" t="s">
        <v>75</v>
      </c>
      <c r="O71" s="33">
        <v>5.5</v>
      </c>
      <c r="P71" s="33">
        <v>11</v>
      </c>
      <c r="Q71" s="33">
        <v>23</v>
      </c>
      <c r="R71" s="33">
        <v>45</v>
      </c>
      <c r="S71" s="33">
        <v>91</v>
      </c>
      <c r="T71" s="33">
        <v>230</v>
      </c>
      <c r="U71" s="33">
        <v>450</v>
      </c>
      <c r="V71" s="33">
        <v>1300</v>
      </c>
      <c r="W71" s="35">
        <v>450</v>
      </c>
      <c r="X71" s="174" t="s">
        <v>75</v>
      </c>
      <c r="Y71" s="175" t="s">
        <v>75</v>
      </c>
      <c r="Z71" s="175" t="s">
        <v>75</v>
      </c>
      <c r="AA71" s="175" t="s">
        <v>75</v>
      </c>
      <c r="AB71" s="175" t="s">
        <v>75</v>
      </c>
      <c r="AC71" s="176" t="s">
        <v>75</v>
      </c>
    </row>
    <row r="72" spans="1:29" s="135" customFormat="1" x14ac:dyDescent="0.2">
      <c r="A72" s="36">
        <v>5</v>
      </c>
      <c r="B72" s="23" t="s">
        <v>120</v>
      </c>
      <c r="C72" s="138">
        <v>5</v>
      </c>
      <c r="D72" s="43" t="s">
        <v>75</v>
      </c>
      <c r="E72" s="43" t="s">
        <v>75</v>
      </c>
      <c r="F72" s="43" t="s">
        <v>75</v>
      </c>
      <c r="G72" s="43" t="s">
        <v>75</v>
      </c>
      <c r="H72" s="43" t="s">
        <v>75</v>
      </c>
      <c r="I72" s="43" t="s">
        <v>75</v>
      </c>
      <c r="J72" s="43" t="s">
        <v>75</v>
      </c>
      <c r="K72" s="43" t="s">
        <v>75</v>
      </c>
      <c r="L72" s="43" t="s">
        <v>75</v>
      </c>
      <c r="M72" s="33" t="s">
        <v>75</v>
      </c>
      <c r="N72" s="33" t="s">
        <v>75</v>
      </c>
      <c r="O72" s="33">
        <v>2.7</v>
      </c>
      <c r="P72" s="33">
        <v>5.4</v>
      </c>
      <c r="Q72" s="33">
        <v>11</v>
      </c>
      <c r="R72" s="33">
        <v>23</v>
      </c>
      <c r="S72" s="33">
        <v>45</v>
      </c>
      <c r="T72" s="33">
        <v>110</v>
      </c>
      <c r="U72" s="33">
        <v>230</v>
      </c>
      <c r="V72" s="33">
        <v>780</v>
      </c>
      <c r="W72" s="35">
        <v>230</v>
      </c>
      <c r="X72" s="174" t="s">
        <v>75</v>
      </c>
      <c r="Y72" s="175" t="s">
        <v>75</v>
      </c>
      <c r="Z72" s="175" t="s">
        <v>75</v>
      </c>
      <c r="AA72" s="175" t="s">
        <v>75</v>
      </c>
      <c r="AB72" s="175" t="s">
        <v>75</v>
      </c>
      <c r="AC72" s="176" t="s">
        <v>75</v>
      </c>
    </row>
    <row r="73" spans="1:29" s="135" customFormat="1" x14ac:dyDescent="0.2">
      <c r="A73" s="36">
        <v>3</v>
      </c>
      <c r="B73" s="23" t="s">
        <v>120</v>
      </c>
      <c r="C73" s="138">
        <v>3</v>
      </c>
      <c r="D73" s="43" t="s">
        <v>75</v>
      </c>
      <c r="E73" s="43" t="s">
        <v>75</v>
      </c>
      <c r="F73" s="43" t="s">
        <v>75</v>
      </c>
      <c r="G73" s="43" t="s">
        <v>75</v>
      </c>
      <c r="H73" s="43" t="s">
        <v>75</v>
      </c>
      <c r="I73" s="43" t="s">
        <v>75</v>
      </c>
      <c r="J73" s="43" t="s">
        <v>75</v>
      </c>
      <c r="K73" s="43" t="s">
        <v>75</v>
      </c>
      <c r="L73" s="43" t="s">
        <v>75</v>
      </c>
      <c r="M73" s="33" t="s">
        <v>75</v>
      </c>
      <c r="N73" s="33" t="s">
        <v>75</v>
      </c>
      <c r="O73" s="33">
        <v>1.7</v>
      </c>
      <c r="P73" s="33">
        <v>3.4</v>
      </c>
      <c r="Q73" s="33">
        <v>6.8</v>
      </c>
      <c r="R73" s="33">
        <v>14</v>
      </c>
      <c r="S73" s="33">
        <v>27</v>
      </c>
      <c r="T73" s="33">
        <v>68</v>
      </c>
      <c r="U73" s="33">
        <v>140</v>
      </c>
      <c r="V73" s="33">
        <v>580</v>
      </c>
      <c r="W73" s="35">
        <v>140</v>
      </c>
      <c r="X73" s="174" t="s">
        <v>75</v>
      </c>
      <c r="Y73" s="175" t="s">
        <v>75</v>
      </c>
      <c r="Z73" s="175" t="s">
        <v>75</v>
      </c>
      <c r="AA73" s="175" t="s">
        <v>75</v>
      </c>
      <c r="AB73" s="175" t="s">
        <v>75</v>
      </c>
      <c r="AC73" s="176" t="s">
        <v>75</v>
      </c>
    </row>
    <row r="74" spans="1:29" s="135" customFormat="1" x14ac:dyDescent="0.2">
      <c r="A74" s="36">
        <v>2</v>
      </c>
      <c r="B74" s="23" t="s">
        <v>120</v>
      </c>
      <c r="C74" s="138">
        <v>2</v>
      </c>
      <c r="D74" s="43" t="s">
        <v>75</v>
      </c>
      <c r="E74" s="43" t="s">
        <v>75</v>
      </c>
      <c r="F74" s="43" t="s">
        <v>75</v>
      </c>
      <c r="G74" s="43" t="s">
        <v>75</v>
      </c>
      <c r="H74" s="43" t="s">
        <v>75</v>
      </c>
      <c r="I74" s="43" t="s">
        <v>75</v>
      </c>
      <c r="J74" s="43" t="s">
        <v>75</v>
      </c>
      <c r="K74" s="43" t="s">
        <v>75</v>
      </c>
      <c r="L74" s="43" t="s">
        <v>75</v>
      </c>
      <c r="M74" s="33" t="s">
        <v>75</v>
      </c>
      <c r="N74" s="33" t="s">
        <v>75</v>
      </c>
      <c r="O74" s="33">
        <v>1.2</v>
      </c>
      <c r="P74" s="33">
        <v>2.2999999999999998</v>
      </c>
      <c r="Q74" s="33">
        <v>4.5</v>
      </c>
      <c r="R74" s="33">
        <v>9.1</v>
      </c>
      <c r="S74" s="33">
        <v>18</v>
      </c>
      <c r="T74" s="33">
        <v>45</v>
      </c>
      <c r="U74" s="33">
        <v>91</v>
      </c>
      <c r="V74" s="33">
        <v>440</v>
      </c>
      <c r="W74" s="35">
        <v>91</v>
      </c>
      <c r="X74" s="174" t="s">
        <v>75</v>
      </c>
      <c r="Y74" s="175" t="s">
        <v>75</v>
      </c>
      <c r="Z74" s="175" t="s">
        <v>75</v>
      </c>
      <c r="AA74" s="175" t="s">
        <v>75</v>
      </c>
      <c r="AB74" s="175" t="s">
        <v>75</v>
      </c>
      <c r="AC74" s="176" t="s">
        <v>75</v>
      </c>
    </row>
    <row r="75" spans="1:29" s="135" customFormat="1" x14ac:dyDescent="0.2">
      <c r="A75" s="36">
        <v>1</v>
      </c>
      <c r="B75" s="23" t="s">
        <v>120</v>
      </c>
      <c r="C75" s="138">
        <v>1</v>
      </c>
      <c r="D75" s="43" t="s">
        <v>75</v>
      </c>
      <c r="E75" s="43" t="s">
        <v>75</v>
      </c>
      <c r="F75" s="43" t="s">
        <v>75</v>
      </c>
      <c r="G75" s="43" t="s">
        <v>75</v>
      </c>
      <c r="H75" s="43" t="s">
        <v>75</v>
      </c>
      <c r="I75" s="43" t="s">
        <v>75</v>
      </c>
      <c r="J75" s="43" t="s">
        <v>75</v>
      </c>
      <c r="K75" s="43" t="s">
        <v>75</v>
      </c>
      <c r="L75" s="43" t="s">
        <v>75</v>
      </c>
      <c r="M75" s="33" t="s">
        <v>75</v>
      </c>
      <c r="N75" s="33" t="s">
        <v>75</v>
      </c>
      <c r="O75" s="33">
        <v>0.55000000000000004</v>
      </c>
      <c r="P75" s="33">
        <v>1.1000000000000001</v>
      </c>
      <c r="Q75" s="33">
        <v>2.2999999999999998</v>
      </c>
      <c r="R75" s="33">
        <v>4.5</v>
      </c>
      <c r="S75" s="33">
        <v>9.1</v>
      </c>
      <c r="T75" s="33">
        <v>23</v>
      </c>
      <c r="U75" s="33">
        <v>45</v>
      </c>
      <c r="V75" s="33">
        <v>270</v>
      </c>
      <c r="W75" s="35">
        <v>70</v>
      </c>
      <c r="X75" s="174" t="s">
        <v>75</v>
      </c>
      <c r="Y75" s="175" t="s">
        <v>75</v>
      </c>
      <c r="Z75" s="175" t="s">
        <v>75</v>
      </c>
      <c r="AA75" s="175" t="s">
        <v>75</v>
      </c>
      <c r="AB75" s="175" t="s">
        <v>75</v>
      </c>
      <c r="AC75" s="176" t="s">
        <v>75</v>
      </c>
    </row>
    <row r="76" spans="1:29" s="135" customFormat="1" x14ac:dyDescent="0.2">
      <c r="A76" s="36">
        <v>0.5</v>
      </c>
      <c r="B76" s="23" t="s">
        <v>120</v>
      </c>
      <c r="C76" s="138">
        <v>0.5</v>
      </c>
      <c r="D76" s="43" t="s">
        <v>75</v>
      </c>
      <c r="E76" s="43" t="s">
        <v>75</v>
      </c>
      <c r="F76" s="43" t="s">
        <v>75</v>
      </c>
      <c r="G76" s="43" t="s">
        <v>75</v>
      </c>
      <c r="H76" s="43" t="s">
        <v>75</v>
      </c>
      <c r="I76" s="43" t="s">
        <v>75</v>
      </c>
      <c r="J76" s="43" t="s">
        <v>75</v>
      </c>
      <c r="K76" s="43" t="s">
        <v>75</v>
      </c>
      <c r="L76" s="43" t="s">
        <v>75</v>
      </c>
      <c r="M76" s="33" t="s">
        <v>75</v>
      </c>
      <c r="N76" s="33" t="s">
        <v>75</v>
      </c>
      <c r="O76" s="33">
        <v>0.27</v>
      </c>
      <c r="P76" s="33">
        <v>0.54</v>
      </c>
      <c r="Q76" s="33">
        <v>1.1000000000000001</v>
      </c>
      <c r="R76" s="33">
        <v>2.2999999999999998</v>
      </c>
      <c r="S76" s="33">
        <v>4.5</v>
      </c>
      <c r="T76" s="33">
        <v>16</v>
      </c>
      <c r="U76" s="33">
        <v>23</v>
      </c>
      <c r="V76" s="33">
        <v>170</v>
      </c>
      <c r="W76" s="35">
        <v>45</v>
      </c>
      <c r="X76" s="174" t="s">
        <v>75</v>
      </c>
      <c r="Y76" s="175" t="s">
        <v>75</v>
      </c>
      <c r="Z76" s="175" t="s">
        <v>75</v>
      </c>
      <c r="AA76" s="175" t="s">
        <v>75</v>
      </c>
      <c r="AB76" s="175" t="s">
        <v>75</v>
      </c>
      <c r="AC76" s="176" t="s">
        <v>75</v>
      </c>
    </row>
    <row r="77" spans="1:29" s="135" customFormat="1" x14ac:dyDescent="0.2">
      <c r="A77" s="36">
        <v>0.3</v>
      </c>
      <c r="B77" s="23" t="s">
        <v>120</v>
      </c>
      <c r="C77" s="138">
        <v>0.3</v>
      </c>
      <c r="D77" s="43" t="s">
        <v>75</v>
      </c>
      <c r="E77" s="43" t="s">
        <v>75</v>
      </c>
      <c r="F77" s="43" t="s">
        <v>75</v>
      </c>
      <c r="G77" s="43" t="s">
        <v>75</v>
      </c>
      <c r="H77" s="43" t="s">
        <v>75</v>
      </c>
      <c r="I77" s="43" t="s">
        <v>75</v>
      </c>
      <c r="J77" s="43" t="s">
        <v>75</v>
      </c>
      <c r="K77" s="43" t="s">
        <v>75</v>
      </c>
      <c r="L77" s="43" t="s">
        <v>75</v>
      </c>
      <c r="M77" s="33" t="s">
        <v>75</v>
      </c>
      <c r="N77" s="33" t="s">
        <v>75</v>
      </c>
      <c r="O77" s="33">
        <v>0.17</v>
      </c>
      <c r="P77" s="33">
        <v>0.34</v>
      </c>
      <c r="Q77" s="33">
        <v>0.68</v>
      </c>
      <c r="R77" s="33">
        <v>1.4</v>
      </c>
      <c r="S77" s="33">
        <v>2.7</v>
      </c>
      <c r="T77" s="33">
        <v>11</v>
      </c>
      <c r="U77" s="33">
        <v>14</v>
      </c>
      <c r="V77" s="33">
        <v>120</v>
      </c>
      <c r="W77" s="35">
        <v>27</v>
      </c>
      <c r="X77" s="174" t="s">
        <v>75</v>
      </c>
      <c r="Y77" s="175" t="s">
        <v>75</v>
      </c>
      <c r="Z77" s="175" t="s">
        <v>75</v>
      </c>
      <c r="AA77" s="175" t="s">
        <v>75</v>
      </c>
      <c r="AB77" s="175" t="s">
        <v>75</v>
      </c>
      <c r="AC77" s="176" t="s">
        <v>75</v>
      </c>
    </row>
    <row r="78" spans="1:29" s="135" customFormat="1" x14ac:dyDescent="0.2">
      <c r="A78" s="36">
        <v>0.2</v>
      </c>
      <c r="B78" s="23" t="s">
        <v>120</v>
      </c>
      <c r="C78" s="138">
        <v>0.2</v>
      </c>
      <c r="D78" s="43" t="s">
        <v>75</v>
      </c>
      <c r="E78" s="43" t="s">
        <v>75</v>
      </c>
      <c r="F78" s="43" t="s">
        <v>75</v>
      </c>
      <c r="G78" s="43" t="s">
        <v>75</v>
      </c>
      <c r="H78" s="43" t="s">
        <v>75</v>
      </c>
      <c r="I78" s="43" t="s">
        <v>75</v>
      </c>
      <c r="J78" s="43" t="s">
        <v>75</v>
      </c>
      <c r="K78" s="43" t="s">
        <v>75</v>
      </c>
      <c r="L78" s="43" t="s">
        <v>75</v>
      </c>
      <c r="M78" s="33" t="s">
        <v>75</v>
      </c>
      <c r="N78" s="33" t="s">
        <v>75</v>
      </c>
      <c r="O78" s="33">
        <v>0.12</v>
      </c>
      <c r="P78" s="33">
        <v>0.23</v>
      </c>
      <c r="Q78" s="33">
        <v>0.45</v>
      </c>
      <c r="R78" s="33">
        <v>0.91</v>
      </c>
      <c r="S78" s="33">
        <v>1.8</v>
      </c>
      <c r="T78" s="33">
        <v>8.1999999999999993</v>
      </c>
      <c r="U78" s="33">
        <v>9.1</v>
      </c>
      <c r="V78" s="33">
        <v>97</v>
      </c>
      <c r="W78" s="35">
        <v>18</v>
      </c>
      <c r="X78" s="174" t="s">
        <v>75</v>
      </c>
      <c r="Y78" s="175" t="s">
        <v>75</v>
      </c>
      <c r="Z78" s="175" t="s">
        <v>75</v>
      </c>
      <c r="AA78" s="175" t="s">
        <v>75</v>
      </c>
      <c r="AB78" s="175" t="s">
        <v>75</v>
      </c>
      <c r="AC78" s="176" t="s">
        <v>75</v>
      </c>
    </row>
    <row r="79" spans="1:29" s="135" customFormat="1" x14ac:dyDescent="0.2">
      <c r="A79" s="36">
        <v>0.1</v>
      </c>
      <c r="B79" s="23" t="s">
        <v>120</v>
      </c>
      <c r="C79" s="138">
        <v>0.1</v>
      </c>
      <c r="D79" s="43" t="s">
        <v>75</v>
      </c>
      <c r="E79" s="43" t="s">
        <v>75</v>
      </c>
      <c r="F79" s="43" t="s">
        <v>75</v>
      </c>
      <c r="G79" s="43" t="s">
        <v>75</v>
      </c>
      <c r="H79" s="43" t="s">
        <v>75</v>
      </c>
      <c r="I79" s="43" t="s">
        <v>75</v>
      </c>
      <c r="J79" s="43" t="s">
        <v>75</v>
      </c>
      <c r="K79" s="43" t="s">
        <v>75</v>
      </c>
      <c r="L79" s="43" t="s">
        <v>75</v>
      </c>
      <c r="M79" s="33" t="s">
        <v>75</v>
      </c>
      <c r="N79" s="33" t="s">
        <v>75</v>
      </c>
      <c r="O79" s="33">
        <v>5.5E-2</v>
      </c>
      <c r="P79" s="33">
        <v>0.11</v>
      </c>
      <c r="Q79" s="33">
        <v>0.23</v>
      </c>
      <c r="R79" s="33">
        <v>0.45</v>
      </c>
      <c r="S79" s="33">
        <v>1.1000000000000001</v>
      </c>
      <c r="T79" s="33">
        <v>5.4</v>
      </c>
      <c r="U79" s="33">
        <v>6.8</v>
      </c>
      <c r="V79" s="33">
        <v>59</v>
      </c>
      <c r="W79" s="35">
        <v>9.1</v>
      </c>
      <c r="X79" s="174" t="s">
        <v>75</v>
      </c>
      <c r="Y79" s="175" t="s">
        <v>75</v>
      </c>
      <c r="Z79" s="175" t="s">
        <v>75</v>
      </c>
      <c r="AA79" s="175" t="s">
        <v>75</v>
      </c>
      <c r="AB79" s="175" t="s">
        <v>75</v>
      </c>
      <c r="AC79" s="176" t="s">
        <v>75</v>
      </c>
    </row>
    <row r="80" spans="1:29" s="135" customFormat="1" x14ac:dyDescent="0.2">
      <c r="A80" s="36">
        <v>0.05</v>
      </c>
      <c r="B80" s="23" t="s">
        <v>120</v>
      </c>
      <c r="C80" s="138">
        <v>0.05</v>
      </c>
      <c r="D80" s="43" t="s">
        <v>75</v>
      </c>
      <c r="E80" s="43" t="s">
        <v>75</v>
      </c>
      <c r="F80" s="43" t="s">
        <v>75</v>
      </c>
      <c r="G80" s="43" t="s">
        <v>75</v>
      </c>
      <c r="H80" s="43" t="s">
        <v>75</v>
      </c>
      <c r="I80" s="43" t="s">
        <v>75</v>
      </c>
      <c r="J80" s="43" t="s">
        <v>75</v>
      </c>
      <c r="K80" s="43" t="s">
        <v>75</v>
      </c>
      <c r="L80" s="43" t="s">
        <v>75</v>
      </c>
      <c r="M80" s="33" t="s">
        <v>75</v>
      </c>
      <c r="N80" s="33" t="s">
        <v>75</v>
      </c>
      <c r="O80" s="33">
        <v>2.7E-2</v>
      </c>
      <c r="P80" s="33">
        <v>5.3999999999999999E-2</v>
      </c>
      <c r="Q80" s="33">
        <v>0.11</v>
      </c>
      <c r="R80" s="33">
        <v>0.36</v>
      </c>
      <c r="S80" s="33">
        <v>0.77</v>
      </c>
      <c r="T80" s="33">
        <v>3.3</v>
      </c>
      <c r="U80" s="33">
        <v>4.5</v>
      </c>
      <c r="V80" s="33">
        <v>37</v>
      </c>
      <c r="W80" s="35">
        <v>4.5</v>
      </c>
      <c r="X80" s="174" t="s">
        <v>75</v>
      </c>
      <c r="Y80" s="175" t="s">
        <v>75</v>
      </c>
      <c r="Z80" s="175" t="s">
        <v>75</v>
      </c>
      <c r="AA80" s="175" t="s">
        <v>75</v>
      </c>
      <c r="AB80" s="175" t="s">
        <v>75</v>
      </c>
      <c r="AC80" s="176" t="s">
        <v>75</v>
      </c>
    </row>
    <row r="81" spans="1:29" s="135" customFormat="1" x14ac:dyDescent="0.2">
      <c r="A81" s="36">
        <v>0.03</v>
      </c>
      <c r="B81" s="23" t="s">
        <v>120</v>
      </c>
      <c r="C81" s="138">
        <v>0.03</v>
      </c>
      <c r="D81" s="43" t="s">
        <v>75</v>
      </c>
      <c r="E81" s="43" t="s">
        <v>75</v>
      </c>
      <c r="F81" s="43" t="s">
        <v>75</v>
      </c>
      <c r="G81" s="43" t="s">
        <v>75</v>
      </c>
      <c r="H81" s="43" t="s">
        <v>75</v>
      </c>
      <c r="I81" s="43" t="s">
        <v>75</v>
      </c>
      <c r="J81" s="43" t="s">
        <v>75</v>
      </c>
      <c r="K81" s="43" t="s">
        <v>75</v>
      </c>
      <c r="L81" s="43" t="s">
        <v>75</v>
      </c>
      <c r="M81" s="33" t="s">
        <v>75</v>
      </c>
      <c r="N81" s="33" t="s">
        <v>75</v>
      </c>
      <c r="O81" s="33">
        <v>1.7000000000000001E-2</v>
      </c>
      <c r="P81" s="33">
        <v>3.4000000000000002E-2</v>
      </c>
      <c r="Q81" s="33">
        <v>6.8000000000000005E-2</v>
      </c>
      <c r="R81" s="33">
        <v>0.32</v>
      </c>
      <c r="S81" s="33">
        <v>0.59</v>
      </c>
      <c r="T81" s="33">
        <v>2.4</v>
      </c>
      <c r="U81" s="33">
        <v>3.2</v>
      </c>
      <c r="V81" s="33">
        <v>26</v>
      </c>
      <c r="W81" s="35">
        <v>2.7</v>
      </c>
      <c r="X81" s="174" t="s">
        <v>75</v>
      </c>
      <c r="Y81" s="175" t="s">
        <v>75</v>
      </c>
      <c r="Z81" s="175" t="s">
        <v>75</v>
      </c>
      <c r="AA81" s="175" t="s">
        <v>75</v>
      </c>
      <c r="AB81" s="175" t="s">
        <v>75</v>
      </c>
      <c r="AC81" s="176" t="s">
        <v>75</v>
      </c>
    </row>
    <row r="82" spans="1:29" s="135" customFormat="1" x14ac:dyDescent="0.2">
      <c r="A82" s="36">
        <v>0.02</v>
      </c>
      <c r="B82" s="23" t="s">
        <v>120</v>
      </c>
      <c r="C82" s="138">
        <v>0.02</v>
      </c>
      <c r="D82" s="43" t="s">
        <v>75</v>
      </c>
      <c r="E82" s="43" t="s">
        <v>75</v>
      </c>
      <c r="F82" s="43" t="s">
        <v>75</v>
      </c>
      <c r="G82" s="43" t="s">
        <v>75</v>
      </c>
      <c r="H82" s="43" t="s">
        <v>75</v>
      </c>
      <c r="I82" s="43" t="s">
        <v>75</v>
      </c>
      <c r="J82" s="43" t="s">
        <v>75</v>
      </c>
      <c r="K82" s="43" t="s">
        <v>75</v>
      </c>
      <c r="L82" s="43" t="s">
        <v>75</v>
      </c>
      <c r="M82" s="33" t="s">
        <v>75</v>
      </c>
      <c r="N82" s="33" t="s">
        <v>75</v>
      </c>
      <c r="O82" s="33">
        <v>1.7000000000000001E-2</v>
      </c>
      <c r="P82" s="33">
        <v>3.4000000000000002E-2</v>
      </c>
      <c r="Q82" s="33">
        <v>4.4999999999999998E-2</v>
      </c>
      <c r="R82" s="33">
        <v>0.23</v>
      </c>
      <c r="S82" s="33">
        <v>0.45</v>
      </c>
      <c r="T82" s="33">
        <v>1.9</v>
      </c>
      <c r="U82" s="33">
        <v>2.2999999999999998</v>
      </c>
      <c r="V82" s="33">
        <v>20</v>
      </c>
      <c r="W82" s="35">
        <v>1.8</v>
      </c>
      <c r="X82" s="174" t="s">
        <v>75</v>
      </c>
      <c r="Y82" s="175" t="s">
        <v>75</v>
      </c>
      <c r="Z82" s="175" t="s">
        <v>75</v>
      </c>
      <c r="AA82" s="175" t="s">
        <v>75</v>
      </c>
      <c r="AB82" s="175" t="s">
        <v>75</v>
      </c>
      <c r="AC82" s="176" t="s">
        <v>75</v>
      </c>
    </row>
    <row r="83" spans="1:29" s="135" customFormat="1" x14ac:dyDescent="0.2">
      <c r="A83" s="36">
        <v>0.01</v>
      </c>
      <c r="B83" s="23" t="s">
        <v>120</v>
      </c>
      <c r="C83" s="138">
        <v>0.01</v>
      </c>
      <c r="D83" s="43" t="s">
        <v>75</v>
      </c>
      <c r="E83" s="43" t="s">
        <v>75</v>
      </c>
      <c r="F83" s="43" t="s">
        <v>75</v>
      </c>
      <c r="G83" s="43" t="s">
        <v>75</v>
      </c>
      <c r="H83" s="43" t="s">
        <v>75</v>
      </c>
      <c r="I83" s="43" t="s">
        <v>75</v>
      </c>
      <c r="J83" s="43" t="s">
        <v>75</v>
      </c>
      <c r="K83" s="43" t="s">
        <v>75</v>
      </c>
      <c r="L83" s="43" t="s">
        <v>75</v>
      </c>
      <c r="M83" s="33" t="s">
        <v>75</v>
      </c>
      <c r="N83" s="33" t="s">
        <v>75</v>
      </c>
      <c r="O83" s="33">
        <v>1.2E-2</v>
      </c>
      <c r="P83" s="33">
        <v>2.3E-2</v>
      </c>
      <c r="Q83" s="33">
        <v>3.4000000000000002E-2</v>
      </c>
      <c r="R83" s="33">
        <v>0.16</v>
      </c>
      <c r="S83" s="33">
        <v>0.34</v>
      </c>
      <c r="T83" s="33">
        <v>1.2</v>
      </c>
      <c r="U83" s="33">
        <v>1.4</v>
      </c>
      <c r="V83" s="33">
        <v>12</v>
      </c>
      <c r="W83" s="35">
        <v>1.5</v>
      </c>
      <c r="X83" s="174" t="s">
        <v>75</v>
      </c>
      <c r="Y83" s="175" t="s">
        <v>75</v>
      </c>
      <c r="Z83" s="175" t="s">
        <v>75</v>
      </c>
      <c r="AA83" s="175" t="s">
        <v>75</v>
      </c>
      <c r="AB83" s="175" t="s">
        <v>75</v>
      </c>
      <c r="AC83" s="176" t="s">
        <v>75</v>
      </c>
    </row>
    <row r="84" spans="1:29" s="135" customFormat="1" x14ac:dyDescent="0.2">
      <c r="A84" s="36">
        <v>5.0000000000000001E-3</v>
      </c>
      <c r="B84" s="39" t="s">
        <v>120</v>
      </c>
      <c r="C84" s="138">
        <v>5.0000000000000001E-3</v>
      </c>
      <c r="D84" s="43" t="s">
        <v>75</v>
      </c>
      <c r="E84" s="43" t="s">
        <v>75</v>
      </c>
      <c r="F84" s="43" t="s">
        <v>75</v>
      </c>
      <c r="G84" s="43" t="s">
        <v>75</v>
      </c>
      <c r="H84" s="43" t="s">
        <v>75</v>
      </c>
      <c r="I84" s="43" t="s">
        <v>75</v>
      </c>
      <c r="J84" s="43" t="s">
        <v>75</v>
      </c>
      <c r="K84" s="43" t="s">
        <v>75</v>
      </c>
      <c r="L84" s="43" t="s">
        <v>75</v>
      </c>
      <c r="M84" s="33" t="s">
        <v>75</v>
      </c>
      <c r="N84" s="33" t="s">
        <v>75</v>
      </c>
      <c r="O84" s="33">
        <v>7.4999999999999997E-3</v>
      </c>
      <c r="P84" s="33">
        <v>1.4999999999999999E-2</v>
      </c>
      <c r="Q84" s="33">
        <v>2.4E-2</v>
      </c>
      <c r="R84" s="33">
        <v>0.14000000000000001</v>
      </c>
      <c r="S84" s="33">
        <v>0.27</v>
      </c>
      <c r="T84" s="33">
        <v>0.86</v>
      </c>
      <c r="U84" s="33">
        <v>0.91</v>
      </c>
      <c r="V84" s="33">
        <v>7.8</v>
      </c>
      <c r="W84" s="35">
        <v>1.2</v>
      </c>
      <c r="X84" s="174" t="s">
        <v>75</v>
      </c>
      <c r="Y84" s="175" t="s">
        <v>75</v>
      </c>
      <c r="Z84" s="175" t="s">
        <v>75</v>
      </c>
      <c r="AA84" s="175" t="s">
        <v>75</v>
      </c>
      <c r="AB84" s="175" t="s">
        <v>75</v>
      </c>
      <c r="AC84" s="176" t="s">
        <v>75</v>
      </c>
    </row>
    <row r="85" spans="1:29" s="135" customFormat="1" x14ac:dyDescent="0.2">
      <c r="A85" s="36">
        <v>3.0000000000000001E-3</v>
      </c>
      <c r="B85" s="39" t="s">
        <v>120</v>
      </c>
      <c r="C85" s="138">
        <v>3.0000000000000001E-3</v>
      </c>
      <c r="D85" s="43" t="s">
        <v>75</v>
      </c>
      <c r="E85" s="43" t="s">
        <v>75</v>
      </c>
      <c r="F85" s="43" t="s">
        <v>75</v>
      </c>
      <c r="G85" s="43" t="s">
        <v>75</v>
      </c>
      <c r="H85" s="43" t="s">
        <v>75</v>
      </c>
      <c r="I85" s="43" t="s">
        <v>75</v>
      </c>
      <c r="J85" s="43" t="s">
        <v>75</v>
      </c>
      <c r="K85" s="43" t="s">
        <v>75</v>
      </c>
      <c r="L85" s="43" t="s">
        <v>75</v>
      </c>
      <c r="M85" s="33" t="s">
        <v>75</v>
      </c>
      <c r="N85" s="33" t="s">
        <v>75</v>
      </c>
      <c r="O85" s="33">
        <v>7.4999999999999997E-3</v>
      </c>
      <c r="P85" s="33">
        <v>1.4999999999999999E-2</v>
      </c>
      <c r="Q85" s="33">
        <v>2.4E-2</v>
      </c>
      <c r="R85" s="33">
        <v>0.11</v>
      </c>
      <c r="S85" s="33">
        <v>0.22</v>
      </c>
      <c r="T85" s="33">
        <v>0.64</v>
      </c>
      <c r="U85" s="33">
        <v>0.91</v>
      </c>
      <c r="V85" s="33">
        <v>5.4</v>
      </c>
      <c r="W85" s="35">
        <v>0.99</v>
      </c>
      <c r="X85" s="174" t="s">
        <v>75</v>
      </c>
      <c r="Y85" s="175" t="s">
        <v>75</v>
      </c>
      <c r="Z85" s="175" t="s">
        <v>75</v>
      </c>
      <c r="AA85" s="175" t="s">
        <v>75</v>
      </c>
      <c r="AB85" s="175" t="s">
        <v>75</v>
      </c>
      <c r="AC85" s="176" t="s">
        <v>75</v>
      </c>
    </row>
    <row r="86" spans="1:29" s="135" customFormat="1" x14ac:dyDescent="0.2">
      <c r="A86" s="36">
        <v>2E-3</v>
      </c>
      <c r="B86" s="39" t="s">
        <v>120</v>
      </c>
      <c r="C86" s="138">
        <v>2E-3</v>
      </c>
      <c r="D86" s="43" t="s">
        <v>75</v>
      </c>
      <c r="E86" s="43" t="s">
        <v>75</v>
      </c>
      <c r="F86" s="43" t="s">
        <v>75</v>
      </c>
      <c r="G86" s="43" t="s">
        <v>75</v>
      </c>
      <c r="H86" s="43" t="s">
        <v>75</v>
      </c>
      <c r="I86" s="43" t="s">
        <v>75</v>
      </c>
      <c r="J86" s="43" t="s">
        <v>75</v>
      </c>
      <c r="K86" s="43" t="s">
        <v>75</v>
      </c>
      <c r="L86" s="43" t="s">
        <v>75</v>
      </c>
      <c r="M86" s="33" t="s">
        <v>75</v>
      </c>
      <c r="N86" s="33" t="s">
        <v>75</v>
      </c>
      <c r="O86" s="33">
        <v>7.4999999999999997E-3</v>
      </c>
      <c r="P86" s="33">
        <v>1.4999999999999999E-2</v>
      </c>
      <c r="Q86" s="33">
        <v>2.4E-2</v>
      </c>
      <c r="R86" s="33">
        <v>9.0999999999999998E-2</v>
      </c>
      <c r="S86" s="33">
        <v>0.19</v>
      </c>
      <c r="T86" s="33">
        <v>0.5</v>
      </c>
      <c r="U86" s="33">
        <v>0.91</v>
      </c>
      <c r="V86" s="33">
        <v>4.2</v>
      </c>
      <c r="W86" s="35">
        <v>0.87</v>
      </c>
      <c r="X86" s="174" t="s">
        <v>75</v>
      </c>
      <c r="Y86" s="175" t="s">
        <v>75</v>
      </c>
      <c r="Z86" s="175" t="s">
        <v>75</v>
      </c>
      <c r="AA86" s="175" t="s">
        <v>75</v>
      </c>
      <c r="AB86" s="175" t="s">
        <v>75</v>
      </c>
      <c r="AC86" s="176" t="s">
        <v>75</v>
      </c>
    </row>
    <row r="87" spans="1:29" s="135" customFormat="1" x14ac:dyDescent="0.2">
      <c r="A87" s="36">
        <v>1E-3</v>
      </c>
      <c r="B87" s="39" t="s">
        <v>120</v>
      </c>
      <c r="C87" s="138">
        <v>1E-3</v>
      </c>
      <c r="D87" s="43" t="s">
        <v>75</v>
      </c>
      <c r="E87" s="43" t="s">
        <v>75</v>
      </c>
      <c r="F87" s="43" t="s">
        <v>75</v>
      </c>
      <c r="G87" s="43" t="s">
        <v>75</v>
      </c>
      <c r="H87" s="43" t="s">
        <v>75</v>
      </c>
      <c r="I87" s="43" t="s">
        <v>75</v>
      </c>
      <c r="J87" s="43" t="s">
        <v>75</v>
      </c>
      <c r="K87" s="43" t="s">
        <v>75</v>
      </c>
      <c r="L87" s="43" t="s">
        <v>75</v>
      </c>
      <c r="M87" s="33" t="s">
        <v>75</v>
      </c>
      <c r="N87" s="33" t="s">
        <v>75</v>
      </c>
      <c r="O87" s="33">
        <v>7.4999999999999997E-3</v>
      </c>
      <c r="P87" s="33">
        <v>1.4999999999999999E-2</v>
      </c>
      <c r="Q87" s="33">
        <v>2.4E-2</v>
      </c>
      <c r="R87" s="33">
        <v>6.8000000000000005E-2</v>
      </c>
      <c r="S87" s="33">
        <v>0.15</v>
      </c>
      <c r="T87" s="33">
        <v>0.36</v>
      </c>
      <c r="U87" s="33">
        <v>0.91</v>
      </c>
      <c r="V87" s="33">
        <v>2.9</v>
      </c>
      <c r="W87" s="35">
        <v>0.7</v>
      </c>
      <c r="X87" s="174" t="s">
        <v>75</v>
      </c>
      <c r="Y87" s="175" t="s">
        <v>75</v>
      </c>
      <c r="Z87" s="175" t="s">
        <v>75</v>
      </c>
      <c r="AA87" s="175" t="s">
        <v>75</v>
      </c>
      <c r="AB87" s="175" t="s">
        <v>75</v>
      </c>
      <c r="AC87" s="176" t="s">
        <v>75</v>
      </c>
    </row>
    <row r="88" spans="1:29" s="135" customFormat="1" x14ac:dyDescent="0.2">
      <c r="A88" s="36">
        <v>5.0000000000000001E-4</v>
      </c>
      <c r="B88" s="39" t="s">
        <v>120</v>
      </c>
      <c r="C88" s="138">
        <v>5.0000000000000001E-4</v>
      </c>
      <c r="D88" s="43" t="s">
        <v>75</v>
      </c>
      <c r="E88" s="43" t="s">
        <v>75</v>
      </c>
      <c r="F88" s="43" t="s">
        <v>75</v>
      </c>
      <c r="G88" s="43" t="s">
        <v>75</v>
      </c>
      <c r="H88" s="43" t="s">
        <v>75</v>
      </c>
      <c r="I88" s="43" t="s">
        <v>75</v>
      </c>
      <c r="J88" s="43" t="s">
        <v>75</v>
      </c>
      <c r="K88" s="43" t="s">
        <v>75</v>
      </c>
      <c r="L88" s="43" t="s">
        <v>75</v>
      </c>
      <c r="M88" s="33" t="s">
        <v>75</v>
      </c>
      <c r="N88" s="33" t="s">
        <v>75</v>
      </c>
      <c r="O88" s="33">
        <v>4.4999999999999997E-3</v>
      </c>
      <c r="P88" s="33">
        <v>9.1000000000000004E-3</v>
      </c>
      <c r="Q88" s="33">
        <v>2.3E-2</v>
      </c>
      <c r="R88" s="33">
        <v>6.4000000000000001E-2</v>
      </c>
      <c r="S88" s="33">
        <v>0.13</v>
      </c>
      <c r="T88" s="33">
        <v>0.27</v>
      </c>
      <c r="U88" s="33" t="s">
        <v>75</v>
      </c>
      <c r="V88" s="33">
        <v>2.1</v>
      </c>
      <c r="W88" s="35" t="s">
        <v>75</v>
      </c>
      <c r="X88" s="174" t="s">
        <v>75</v>
      </c>
      <c r="Y88" s="175" t="s">
        <v>75</v>
      </c>
      <c r="Z88" s="175" t="s">
        <v>75</v>
      </c>
      <c r="AA88" s="175" t="s">
        <v>75</v>
      </c>
      <c r="AB88" s="175" t="s">
        <v>75</v>
      </c>
      <c r="AC88" s="176" t="s">
        <v>75</v>
      </c>
    </row>
    <row r="89" spans="1:29" s="135" customFormat="1" x14ac:dyDescent="0.2">
      <c r="A89" s="36">
        <v>2.9999999999999997E-4</v>
      </c>
      <c r="B89" s="39" t="s">
        <v>120</v>
      </c>
      <c r="C89" s="138">
        <v>2.9999999999999997E-4</v>
      </c>
      <c r="D89" s="43" t="s">
        <v>75</v>
      </c>
      <c r="E89" s="43" t="s">
        <v>75</v>
      </c>
      <c r="F89" s="43" t="s">
        <v>75</v>
      </c>
      <c r="G89" s="43" t="s">
        <v>75</v>
      </c>
      <c r="H89" s="43" t="s">
        <v>75</v>
      </c>
      <c r="I89" s="43" t="s">
        <v>75</v>
      </c>
      <c r="J89" s="43" t="s">
        <v>75</v>
      </c>
      <c r="K89" s="43" t="s">
        <v>75</v>
      </c>
      <c r="L89" s="43" t="s">
        <v>75</v>
      </c>
      <c r="M89" s="33" t="s">
        <v>75</v>
      </c>
      <c r="N89" s="33" t="s">
        <v>75</v>
      </c>
      <c r="O89" s="33">
        <v>4.4999999999999997E-3</v>
      </c>
      <c r="P89" s="33">
        <v>9.1000000000000004E-3</v>
      </c>
      <c r="Q89" s="33">
        <v>2.3E-2</v>
      </c>
      <c r="R89" s="33">
        <v>5.3999999999999999E-2</v>
      </c>
      <c r="S89" s="33">
        <v>0.11</v>
      </c>
      <c r="T89" s="33">
        <v>0.23</v>
      </c>
      <c r="U89" s="33" t="s">
        <v>75</v>
      </c>
      <c r="V89" s="33">
        <v>1.5</v>
      </c>
      <c r="W89" s="35" t="s">
        <v>75</v>
      </c>
      <c r="X89" s="174" t="s">
        <v>75</v>
      </c>
      <c r="Y89" s="175" t="s">
        <v>75</v>
      </c>
      <c r="Z89" s="175" t="s">
        <v>75</v>
      </c>
      <c r="AA89" s="175" t="s">
        <v>75</v>
      </c>
      <c r="AB89" s="175" t="s">
        <v>75</v>
      </c>
      <c r="AC89" s="176" t="s">
        <v>75</v>
      </c>
    </row>
    <row r="90" spans="1:29" s="135" customFormat="1" x14ac:dyDescent="0.2">
      <c r="A90" s="36">
        <v>2.0000000000000001E-4</v>
      </c>
      <c r="B90" s="39" t="s">
        <v>120</v>
      </c>
      <c r="C90" s="138">
        <v>2.0000000000000001E-4</v>
      </c>
      <c r="D90" s="43" t="s">
        <v>75</v>
      </c>
      <c r="E90" s="43" t="s">
        <v>75</v>
      </c>
      <c r="F90" s="43" t="s">
        <v>75</v>
      </c>
      <c r="G90" s="43" t="s">
        <v>75</v>
      </c>
      <c r="H90" s="43" t="s">
        <v>75</v>
      </c>
      <c r="I90" s="43" t="s">
        <v>75</v>
      </c>
      <c r="J90" s="43" t="s">
        <v>75</v>
      </c>
      <c r="K90" s="43" t="s">
        <v>75</v>
      </c>
      <c r="L90" s="43" t="s">
        <v>75</v>
      </c>
      <c r="M90" s="33" t="s">
        <v>75</v>
      </c>
      <c r="N90" s="33" t="s">
        <v>75</v>
      </c>
      <c r="O90" s="33">
        <v>4.4999999999999997E-3</v>
      </c>
      <c r="P90" s="33">
        <v>9.1000000000000004E-3</v>
      </c>
      <c r="Q90" s="33">
        <v>2.3E-2</v>
      </c>
      <c r="R90" s="33">
        <v>4.4999999999999998E-2</v>
      </c>
      <c r="S90" s="33">
        <v>9.5000000000000001E-2</v>
      </c>
      <c r="T90" s="33">
        <v>0.2</v>
      </c>
      <c r="U90" s="33" t="s">
        <v>75</v>
      </c>
      <c r="V90" s="33">
        <v>1.2</v>
      </c>
      <c r="W90" s="35" t="s">
        <v>75</v>
      </c>
      <c r="X90" s="174" t="s">
        <v>75</v>
      </c>
      <c r="Y90" s="175" t="s">
        <v>75</v>
      </c>
      <c r="Z90" s="175" t="s">
        <v>75</v>
      </c>
      <c r="AA90" s="175" t="s">
        <v>75</v>
      </c>
      <c r="AB90" s="175" t="s">
        <v>75</v>
      </c>
      <c r="AC90" s="176" t="s">
        <v>75</v>
      </c>
    </row>
    <row r="91" spans="1:29" s="135" customFormat="1" x14ac:dyDescent="0.2">
      <c r="A91" s="36">
        <v>1E-4</v>
      </c>
      <c r="B91" s="39" t="s">
        <v>120</v>
      </c>
      <c r="C91" s="138">
        <v>1E-4</v>
      </c>
      <c r="D91" s="43" t="s">
        <v>75</v>
      </c>
      <c r="E91" s="43" t="s">
        <v>75</v>
      </c>
      <c r="F91" s="43" t="s">
        <v>75</v>
      </c>
      <c r="G91" s="43" t="s">
        <v>75</v>
      </c>
      <c r="H91" s="43" t="s">
        <v>75</v>
      </c>
      <c r="I91" s="43" t="s">
        <v>75</v>
      </c>
      <c r="J91" s="43" t="s">
        <v>75</v>
      </c>
      <c r="K91" s="43" t="s">
        <v>75</v>
      </c>
      <c r="L91" s="43" t="s">
        <v>75</v>
      </c>
      <c r="M91" s="33" t="s">
        <v>75</v>
      </c>
      <c r="N91" s="33" t="s">
        <v>75</v>
      </c>
      <c r="O91" s="33">
        <v>4.4999999999999997E-3</v>
      </c>
      <c r="P91" s="33">
        <v>9.1000000000000004E-3</v>
      </c>
      <c r="Q91" s="33">
        <v>2.3E-2</v>
      </c>
      <c r="R91" s="33">
        <v>4.1000000000000002E-2</v>
      </c>
      <c r="S91" s="33">
        <v>8.5999999999999993E-2</v>
      </c>
      <c r="T91" s="33">
        <v>0.16</v>
      </c>
      <c r="U91" s="33" t="s">
        <v>75</v>
      </c>
      <c r="V91" s="33">
        <v>0.84</v>
      </c>
      <c r="W91" s="35" t="s">
        <v>75</v>
      </c>
      <c r="X91" s="174" t="s">
        <v>75</v>
      </c>
      <c r="Y91" s="175" t="s">
        <v>75</v>
      </c>
      <c r="Z91" s="175" t="s">
        <v>75</v>
      </c>
      <c r="AA91" s="175" t="s">
        <v>75</v>
      </c>
      <c r="AB91" s="175" t="s">
        <v>75</v>
      </c>
      <c r="AC91" s="176" t="s">
        <v>75</v>
      </c>
    </row>
    <row r="92" spans="1:29" s="135" customFormat="1" x14ac:dyDescent="0.2">
      <c r="A92" s="36">
        <v>5.0000000000000002E-5</v>
      </c>
      <c r="B92" s="39" t="s">
        <v>120</v>
      </c>
      <c r="C92" s="138">
        <v>5.0000000000000002E-5</v>
      </c>
      <c r="D92" s="43" t="s">
        <v>75</v>
      </c>
      <c r="E92" s="43" t="s">
        <v>75</v>
      </c>
      <c r="F92" s="43" t="s">
        <v>75</v>
      </c>
      <c r="G92" s="43" t="s">
        <v>75</v>
      </c>
      <c r="H92" s="43" t="s">
        <v>75</v>
      </c>
      <c r="I92" s="43" t="s">
        <v>75</v>
      </c>
      <c r="J92" s="43" t="s">
        <v>75</v>
      </c>
      <c r="K92" s="43" t="s">
        <v>75</v>
      </c>
      <c r="L92" s="43" t="s">
        <v>75</v>
      </c>
      <c r="M92" s="33" t="s">
        <v>75</v>
      </c>
      <c r="N92" s="33" t="s">
        <v>75</v>
      </c>
      <c r="O92" s="33">
        <v>4.4999999999999997E-3</v>
      </c>
      <c r="P92" s="33">
        <v>9.1000000000000004E-3</v>
      </c>
      <c r="Q92" s="33">
        <v>1.4E-2</v>
      </c>
      <c r="R92" s="33">
        <v>3.5999999999999997E-2</v>
      </c>
      <c r="S92" s="33">
        <v>7.2999999999999995E-2</v>
      </c>
      <c r="T92" s="33">
        <v>0.14000000000000001</v>
      </c>
      <c r="U92" s="33" t="s">
        <v>75</v>
      </c>
      <c r="V92" s="33" t="s">
        <v>75</v>
      </c>
      <c r="W92" s="35" t="s">
        <v>75</v>
      </c>
      <c r="X92" s="174" t="s">
        <v>75</v>
      </c>
      <c r="Y92" s="175" t="s">
        <v>75</v>
      </c>
      <c r="Z92" s="175" t="s">
        <v>75</v>
      </c>
      <c r="AA92" s="175" t="s">
        <v>75</v>
      </c>
      <c r="AB92" s="175" t="s">
        <v>75</v>
      </c>
      <c r="AC92" s="176" t="s">
        <v>75</v>
      </c>
    </row>
    <row r="93" spans="1:29" s="135" customFormat="1" x14ac:dyDescent="0.2">
      <c r="A93" s="36">
        <v>3.0000000000000001E-5</v>
      </c>
      <c r="B93" s="39" t="s">
        <v>120</v>
      </c>
      <c r="C93" s="138">
        <v>3.0000000000000001E-5</v>
      </c>
      <c r="D93" s="43" t="s">
        <v>75</v>
      </c>
      <c r="E93" s="43" t="s">
        <v>75</v>
      </c>
      <c r="F93" s="43" t="s">
        <v>75</v>
      </c>
      <c r="G93" s="43" t="s">
        <v>75</v>
      </c>
      <c r="H93" s="43" t="s">
        <v>75</v>
      </c>
      <c r="I93" s="43" t="s">
        <v>75</v>
      </c>
      <c r="J93" s="43" t="s">
        <v>75</v>
      </c>
      <c r="K93" s="43" t="s">
        <v>75</v>
      </c>
      <c r="L93" s="43" t="s">
        <v>75</v>
      </c>
      <c r="M93" s="33" t="s">
        <v>75</v>
      </c>
      <c r="N93" s="33" t="s">
        <v>75</v>
      </c>
      <c r="O93" s="33">
        <v>4.4999999999999997E-3</v>
      </c>
      <c r="P93" s="33">
        <v>9.1000000000000004E-3</v>
      </c>
      <c r="Q93" s="33">
        <v>1.4E-2</v>
      </c>
      <c r="R93" s="33">
        <v>3.2000000000000001E-2</v>
      </c>
      <c r="S93" s="33">
        <v>6.4000000000000001E-2</v>
      </c>
      <c r="T93" s="33">
        <v>0.11</v>
      </c>
      <c r="U93" s="33" t="s">
        <v>75</v>
      </c>
      <c r="V93" s="33" t="s">
        <v>75</v>
      </c>
      <c r="W93" s="35" t="s">
        <v>75</v>
      </c>
      <c r="X93" s="174" t="s">
        <v>75</v>
      </c>
      <c r="Y93" s="175" t="s">
        <v>75</v>
      </c>
      <c r="Z93" s="175" t="s">
        <v>75</v>
      </c>
      <c r="AA93" s="175" t="s">
        <v>75</v>
      </c>
      <c r="AB93" s="175" t="s">
        <v>75</v>
      </c>
      <c r="AC93" s="176" t="s">
        <v>75</v>
      </c>
    </row>
    <row r="94" spans="1:29" s="135" customFormat="1" x14ac:dyDescent="0.2">
      <c r="A94" s="36">
        <v>2.0000000000000002E-5</v>
      </c>
      <c r="B94" s="17" t="s">
        <v>120</v>
      </c>
      <c r="C94" s="138">
        <v>2.0000000000000002E-5</v>
      </c>
      <c r="D94" s="43" t="s">
        <v>75</v>
      </c>
      <c r="E94" s="43" t="s">
        <v>75</v>
      </c>
      <c r="F94" s="43" t="s">
        <v>75</v>
      </c>
      <c r="G94" s="43" t="s">
        <v>75</v>
      </c>
      <c r="H94" s="43" t="s">
        <v>75</v>
      </c>
      <c r="I94" s="43" t="s">
        <v>75</v>
      </c>
      <c r="J94" s="43" t="s">
        <v>75</v>
      </c>
      <c r="K94" s="43" t="s">
        <v>75</v>
      </c>
      <c r="L94" s="43" t="s">
        <v>75</v>
      </c>
      <c r="M94" s="33" t="s">
        <v>75</v>
      </c>
      <c r="N94" s="33" t="s">
        <v>75</v>
      </c>
      <c r="O94" s="33">
        <v>4.4999999999999997E-3</v>
      </c>
      <c r="P94" s="33">
        <v>9.1000000000000004E-3</v>
      </c>
      <c r="Q94" s="33">
        <v>1.4E-2</v>
      </c>
      <c r="R94" s="33">
        <v>2.9000000000000001E-2</v>
      </c>
      <c r="S94" s="33">
        <v>5.8999999999999997E-2</v>
      </c>
      <c r="T94" s="33">
        <v>9.0999999999999998E-2</v>
      </c>
      <c r="U94" s="33" t="s">
        <v>75</v>
      </c>
      <c r="V94" s="33" t="s">
        <v>75</v>
      </c>
      <c r="W94" s="35" t="s">
        <v>75</v>
      </c>
      <c r="X94" s="174" t="s">
        <v>75</v>
      </c>
      <c r="Y94" s="175" t="s">
        <v>75</v>
      </c>
      <c r="Z94" s="175" t="s">
        <v>75</v>
      </c>
      <c r="AA94" s="175" t="s">
        <v>75</v>
      </c>
      <c r="AB94" s="175" t="s">
        <v>75</v>
      </c>
      <c r="AC94" s="176" t="s">
        <v>75</v>
      </c>
    </row>
    <row r="95" spans="1:29" s="135" customFormat="1" x14ac:dyDescent="0.2">
      <c r="A95" s="36">
        <v>1.0000000000000001E-5</v>
      </c>
      <c r="B95" s="23" t="s">
        <v>120</v>
      </c>
      <c r="C95" s="138">
        <v>1.0000000000000001E-5</v>
      </c>
      <c r="D95" s="43" t="s">
        <v>75</v>
      </c>
      <c r="E95" s="43" t="s">
        <v>75</v>
      </c>
      <c r="F95" s="43" t="s">
        <v>75</v>
      </c>
      <c r="G95" s="43" t="s">
        <v>75</v>
      </c>
      <c r="H95" s="43" t="s">
        <v>75</v>
      </c>
      <c r="I95" s="43" t="s">
        <v>75</v>
      </c>
      <c r="J95" s="43" t="s">
        <v>75</v>
      </c>
      <c r="K95" s="43" t="s">
        <v>75</v>
      </c>
      <c r="L95" s="43" t="s">
        <v>75</v>
      </c>
      <c r="M95" s="33" t="s">
        <v>75</v>
      </c>
      <c r="N95" s="33" t="s">
        <v>75</v>
      </c>
      <c r="O95" s="33">
        <v>4.4999999999999997E-3</v>
      </c>
      <c r="P95" s="33">
        <v>9.1000000000000004E-3</v>
      </c>
      <c r="Q95" s="33">
        <v>1.4E-2</v>
      </c>
      <c r="R95" s="33">
        <v>2.7E-2</v>
      </c>
      <c r="S95" s="33">
        <v>5.3999999999999999E-2</v>
      </c>
      <c r="T95" s="33">
        <v>9.0999999999999998E-2</v>
      </c>
      <c r="U95" s="33" t="s">
        <v>75</v>
      </c>
      <c r="V95" s="33" t="s">
        <v>75</v>
      </c>
      <c r="W95" s="35" t="s">
        <v>75</v>
      </c>
      <c r="X95" s="174" t="s">
        <v>75</v>
      </c>
      <c r="Y95" s="175" t="s">
        <v>75</v>
      </c>
      <c r="Z95" s="175" t="s">
        <v>75</v>
      </c>
      <c r="AA95" s="175" t="s">
        <v>75</v>
      </c>
      <c r="AB95" s="175" t="s">
        <v>75</v>
      </c>
      <c r="AC95" s="176" t="s">
        <v>75</v>
      </c>
    </row>
    <row r="96" spans="1:29" s="135" customFormat="1" x14ac:dyDescent="0.2">
      <c r="A96" s="36">
        <v>5.0000000000000004E-6</v>
      </c>
      <c r="B96" s="23" t="s">
        <v>120</v>
      </c>
      <c r="C96" s="138">
        <v>5.0000000000000004E-6</v>
      </c>
      <c r="D96" s="43" t="s">
        <v>75</v>
      </c>
      <c r="E96" s="43" t="s">
        <v>75</v>
      </c>
      <c r="F96" s="43" t="s">
        <v>75</v>
      </c>
      <c r="G96" s="43" t="s">
        <v>75</v>
      </c>
      <c r="H96" s="43" t="s">
        <v>75</v>
      </c>
      <c r="I96" s="43" t="s">
        <v>75</v>
      </c>
      <c r="J96" s="43" t="s">
        <v>75</v>
      </c>
      <c r="K96" s="43" t="s">
        <v>75</v>
      </c>
      <c r="L96" s="43" t="s">
        <v>75</v>
      </c>
      <c r="M96" s="33" t="s">
        <v>75</v>
      </c>
      <c r="N96" s="33" t="s">
        <v>75</v>
      </c>
      <c r="O96" s="33">
        <v>4.4999999999999997E-3</v>
      </c>
      <c r="P96" s="33">
        <v>9.1000000000000004E-3</v>
      </c>
      <c r="Q96" s="33">
        <v>1.4E-2</v>
      </c>
      <c r="R96" s="33">
        <v>2.3E-2</v>
      </c>
      <c r="S96" s="33">
        <v>5.3999999999999999E-2</v>
      </c>
      <c r="T96" s="33">
        <v>9.0999999999999998E-2</v>
      </c>
      <c r="U96" s="33" t="s">
        <v>75</v>
      </c>
      <c r="V96" s="33" t="s">
        <v>75</v>
      </c>
      <c r="W96" s="35" t="s">
        <v>75</v>
      </c>
      <c r="X96" s="174" t="s">
        <v>75</v>
      </c>
      <c r="Y96" s="175" t="s">
        <v>75</v>
      </c>
      <c r="Z96" s="175" t="s">
        <v>75</v>
      </c>
      <c r="AA96" s="175" t="s">
        <v>75</v>
      </c>
      <c r="AB96" s="175" t="s">
        <v>75</v>
      </c>
      <c r="AC96" s="176" t="s">
        <v>75</v>
      </c>
    </row>
    <row r="97" spans="1:29" s="135" customFormat="1" x14ac:dyDescent="0.2">
      <c r="A97" s="36">
        <v>3.0000000000000001E-6</v>
      </c>
      <c r="B97" s="23" t="s">
        <v>120</v>
      </c>
      <c r="C97" s="138">
        <v>3.0000000000000001E-6</v>
      </c>
      <c r="D97" s="43" t="s">
        <v>75</v>
      </c>
      <c r="E97" s="43" t="s">
        <v>75</v>
      </c>
      <c r="F97" s="43" t="s">
        <v>75</v>
      </c>
      <c r="G97" s="43" t="s">
        <v>75</v>
      </c>
      <c r="H97" s="43" t="s">
        <v>75</v>
      </c>
      <c r="I97" s="43" t="s">
        <v>75</v>
      </c>
      <c r="J97" s="43" t="s">
        <v>75</v>
      </c>
      <c r="K97" s="43" t="s">
        <v>75</v>
      </c>
      <c r="L97" s="43" t="s">
        <v>75</v>
      </c>
      <c r="M97" s="33" t="s">
        <v>75</v>
      </c>
      <c r="N97" s="33" t="s">
        <v>75</v>
      </c>
      <c r="O97" s="33">
        <v>4.4999999999999997E-3</v>
      </c>
      <c r="P97" s="33">
        <v>9.1000000000000004E-3</v>
      </c>
      <c r="Q97" s="33">
        <v>1.4E-2</v>
      </c>
      <c r="R97" s="33">
        <v>2.3E-2</v>
      </c>
      <c r="S97" s="33">
        <v>5.3999999999999999E-2</v>
      </c>
      <c r="T97" s="33">
        <v>9.0999999999999998E-2</v>
      </c>
      <c r="U97" s="33" t="s">
        <v>75</v>
      </c>
      <c r="V97" s="33" t="s">
        <v>75</v>
      </c>
      <c r="W97" s="35" t="s">
        <v>75</v>
      </c>
      <c r="X97" s="174" t="s">
        <v>75</v>
      </c>
      <c r="Y97" s="175" t="s">
        <v>75</v>
      </c>
      <c r="Z97" s="175" t="s">
        <v>75</v>
      </c>
      <c r="AA97" s="175" t="s">
        <v>75</v>
      </c>
      <c r="AB97" s="175" t="s">
        <v>75</v>
      </c>
      <c r="AC97" s="176" t="s">
        <v>75</v>
      </c>
    </row>
    <row r="98" spans="1:29" s="135" customFormat="1" x14ac:dyDescent="0.2">
      <c r="A98" s="36">
        <v>1.9999999999999999E-6</v>
      </c>
      <c r="B98" s="23" t="s">
        <v>120</v>
      </c>
      <c r="C98" s="138">
        <v>1.9999999999999999E-6</v>
      </c>
      <c r="D98" s="43" t="s">
        <v>75</v>
      </c>
      <c r="E98" s="43" t="s">
        <v>75</v>
      </c>
      <c r="F98" s="43" t="s">
        <v>75</v>
      </c>
      <c r="G98" s="43" t="s">
        <v>75</v>
      </c>
      <c r="H98" s="43" t="s">
        <v>75</v>
      </c>
      <c r="I98" s="43" t="s">
        <v>75</v>
      </c>
      <c r="J98" s="43" t="s">
        <v>75</v>
      </c>
      <c r="K98" s="43" t="s">
        <v>75</v>
      </c>
      <c r="L98" s="43" t="s">
        <v>75</v>
      </c>
      <c r="M98" s="33" t="s">
        <v>75</v>
      </c>
      <c r="N98" s="33" t="s">
        <v>75</v>
      </c>
      <c r="O98" s="33">
        <v>4.4999999999999997E-3</v>
      </c>
      <c r="P98" s="33">
        <v>9.1000000000000004E-3</v>
      </c>
      <c r="Q98" s="33">
        <v>1.4E-2</v>
      </c>
      <c r="R98" s="33">
        <v>2.3E-2</v>
      </c>
      <c r="S98" s="33">
        <v>5.3999999999999999E-2</v>
      </c>
      <c r="T98" s="33">
        <v>9.0999999999999998E-2</v>
      </c>
      <c r="U98" s="33" t="s">
        <v>75</v>
      </c>
      <c r="V98" s="33" t="s">
        <v>75</v>
      </c>
      <c r="W98" s="35" t="s">
        <v>75</v>
      </c>
      <c r="X98" s="174" t="s">
        <v>75</v>
      </c>
      <c r="Y98" s="175" t="s">
        <v>75</v>
      </c>
      <c r="Z98" s="175" t="s">
        <v>75</v>
      </c>
      <c r="AA98" s="175" t="s">
        <v>75</v>
      </c>
      <c r="AB98" s="175" t="s">
        <v>75</v>
      </c>
      <c r="AC98" s="176" t="s">
        <v>75</v>
      </c>
    </row>
    <row r="99" spans="1:29" s="135" customFormat="1" ht="15.75" thickBot="1" x14ac:dyDescent="0.25">
      <c r="A99" s="48">
        <v>9.9999999999999995E-7</v>
      </c>
      <c r="B99" s="142" t="s">
        <v>120</v>
      </c>
      <c r="C99" s="143">
        <v>9.9999999999999995E-7</v>
      </c>
      <c r="D99" s="51" t="s">
        <v>75</v>
      </c>
      <c r="E99" s="51" t="s">
        <v>75</v>
      </c>
      <c r="F99" s="51" t="s">
        <v>75</v>
      </c>
      <c r="G99" s="51" t="s">
        <v>75</v>
      </c>
      <c r="H99" s="51" t="s">
        <v>75</v>
      </c>
      <c r="I99" s="51" t="s">
        <v>75</v>
      </c>
      <c r="J99" s="51" t="s">
        <v>75</v>
      </c>
      <c r="K99" s="51" t="s">
        <v>75</v>
      </c>
      <c r="L99" s="51" t="s">
        <v>75</v>
      </c>
      <c r="M99" s="53" t="s">
        <v>75</v>
      </c>
      <c r="N99" s="53" t="s">
        <v>75</v>
      </c>
      <c r="O99" s="53">
        <v>4.4999999999999997E-3</v>
      </c>
      <c r="P99" s="53">
        <v>9.1000000000000004E-3</v>
      </c>
      <c r="Q99" s="53">
        <v>1.4E-2</v>
      </c>
      <c r="R99" s="53">
        <v>2.3E-2</v>
      </c>
      <c r="S99" s="53">
        <v>5.3999999999999999E-2</v>
      </c>
      <c r="T99" s="53">
        <v>9.0999999999999998E-2</v>
      </c>
      <c r="U99" s="53" t="s">
        <v>75</v>
      </c>
      <c r="V99" s="53" t="s">
        <v>75</v>
      </c>
      <c r="W99" s="144" t="s">
        <v>75</v>
      </c>
      <c r="X99" s="178" t="s">
        <v>75</v>
      </c>
      <c r="Y99" s="179" t="s">
        <v>75</v>
      </c>
      <c r="Z99" s="179" t="s">
        <v>75</v>
      </c>
      <c r="AA99" s="179" t="s">
        <v>75</v>
      </c>
      <c r="AB99" s="179" t="s">
        <v>75</v>
      </c>
      <c r="AC99" s="180" t="s">
        <v>75</v>
      </c>
    </row>
    <row r="100" spans="1:29" ht="16.5" thickTop="1" x14ac:dyDescent="0.25">
      <c r="A100" s="217" t="s">
        <v>126</v>
      </c>
      <c r="B100" s="217"/>
      <c r="C100" s="217"/>
      <c r="D100" s="217"/>
      <c r="E100" s="217"/>
      <c r="F100" s="217"/>
      <c r="G100" s="217"/>
      <c r="H100" s="217"/>
      <c r="I100" s="217"/>
      <c r="J100" s="217"/>
      <c r="K100" s="217"/>
      <c r="L100" s="217"/>
      <c r="M100" s="217"/>
      <c r="N100" s="217"/>
      <c r="O100" s="217"/>
      <c r="P100" s="217"/>
      <c r="Q100" s="217"/>
      <c r="R100" s="217"/>
      <c r="S100" s="217"/>
      <c r="T100" s="217"/>
      <c r="U100" s="217"/>
      <c r="V100" s="217"/>
      <c r="W100" s="217"/>
    </row>
  </sheetData>
  <sheetProtection password="FFED" sheet="1" formatCells="0" formatColumns="0" formatRows="0"/>
  <mergeCells count="10">
    <mergeCell ref="A1:W1"/>
    <mergeCell ref="D2:L2"/>
    <mergeCell ref="M2:V2"/>
    <mergeCell ref="X2:AB2"/>
    <mergeCell ref="A51:W51"/>
    <mergeCell ref="A100:W100"/>
    <mergeCell ref="A53:W53"/>
    <mergeCell ref="D54:L54"/>
    <mergeCell ref="M54:V54"/>
    <mergeCell ref="X54:AB54"/>
  </mergeCells>
  <dataValidations disablePrompts="1" count="1">
    <dataValidation type="list" allowBlank="1" showInputMessage="1" showErrorMessage="1" sqref="AE8" xr:uid="{C293CFFC-68C3-4CE5-9D79-ABB8A7E24B28}">
      <formula1>IF(#REF!="OIML",D3:L3,(IF(#REF!="ASTM",M3:V3,(IF(#REF!="NIST",W3,(IF(#REF!="User",X3:AC3,"")))))))</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P U C 1 U E O x 9 u O n A A A A + A A A A B I A H A B D b 2 5 m a W c v U G F j a 2 F n Z S 5 4 b W w g o h g A K K A U A A A A A A A A A A A A A A A A A A A A A A A A A A A A h Y 9 B D o I w F E S v Q r q n L R X U k E 9 Z u J X E h G j c k l K h E Y q h x X I 3 F x 7 J K 0 i i q D u X M 3 m T v H n c 7 p C O b e N d Z W 9 U p x M U Y I o 8 q U V X K l 0 l a L A n f 4 1 S D r t C n I t K e h O s T T w a l a D a 2 k t M i H M O u w X u + o o w S g N y z L a 5 q G V b + E o b W 2 g h 0 W d V / l 8 h D o e X D G d 4 x X A U R U s c h g G Q u Y Z M 6 S / C J m N M g f y U s B k a O / S S S + 3 v c y B z B P J + w Z 9 Q S w M E F A A C A A g A P U C 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1 A t V A o i k e 4 D g A A A B E A A A A T A B w A R m 9 y b X V s Y X M v U 2 V j d G l v b j E u b S C i G A A o o B Q A A A A A A A A A A A A A A A A A A A A A A A A A A A A r T k 0 u y c z P U w i G 0 I b W A F B L A Q I t A B Q A A g A I A D 1 A t V B D s f b j p w A A A P g A A A A S A A A A A A A A A A A A A A A A A A A A A A B D b 2 5 m a W c v U G F j a 2 F n Z S 5 4 b W x Q S w E C L Q A U A A I A C A A 9 Q L V Q D 8 r p q 6 Q A A A D p A A A A E w A A A A A A A A A A A A A A A A D z A A A A W 0 N v b n R l b n R f V H l w Z X N d L n h t b F B L A Q I t A B Q A A g A I A D 1 A 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h U 9 z L f N F H R I E 1 z e 6 M X B C n A A A A A A I A A A A A A A N m A A D A A A A A E A A A A J n p m p o 9 X v t 5 J 3 B b w I g t 2 T g A A A A A B I A A A K A A A A A Q A A A A v F x H x w k P t n 7 P p N Z b g f 9 N d 1 A A A A C 3 Q s g L G 5 s S e C E 3 q O y R p 3 V 2 S x l e a Q o l L y m h b E L Y + L n w e G l o 6 b q e 4 w X q 0 q a I j M e g h 1 6 T j / J e 9 o v B A 3 Q 1 z A X B 6 i 6 t 4 L Q A h 7 b 0 q 6 A 1 i Q / G 6 / W K 9 x Q A A A C T f N E L 2 2 e 8 s O s k B J E v o U P a R j U g J Q = = < / D a t a M a s h u p > 
</file>

<file path=customXml/itemProps1.xml><?xml version="1.0" encoding="utf-8"?>
<ds:datastoreItem xmlns:ds="http://schemas.openxmlformats.org/officeDocument/2006/customXml" ds:itemID="{56D0069E-BA1A-4F35-8462-428B60C357A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131</vt:i4>
      </vt:variant>
    </vt:vector>
  </HeadingPairs>
  <TitlesOfParts>
    <vt:vector size="139" baseType="lpstr">
      <vt:lpstr>Software V&amp;V</vt:lpstr>
      <vt:lpstr>Revision Control</vt:lpstr>
      <vt:lpstr>Instructions</vt:lpstr>
      <vt:lpstr>5221 Uncertainty Calculations</vt:lpstr>
      <vt:lpstr>5321 Uncertainty Calculations</vt:lpstr>
      <vt:lpstr>lb Uncertainty Calculations</vt:lpstr>
      <vt:lpstr>Sensitivity Calculation Sheet</vt:lpstr>
      <vt:lpstr>MPE Table</vt:lpstr>
      <vt:lpstr>'5221 Uncertainty Calculations'!Assumed_Rho_X</vt:lpstr>
      <vt:lpstr>'5321 Uncertainty Calculations'!Assumed_Rho_X</vt:lpstr>
      <vt:lpstr>'lb Uncertainty Calculations'!Assumed_Rho_X</vt:lpstr>
      <vt:lpstr>'5221 Uncertainty Calculations'!Avg_Sens_R</vt:lpstr>
      <vt:lpstr>'5321 Uncertainty Calculations'!Avg_Sens_R</vt:lpstr>
      <vt:lpstr>'lb Uncertainty Calculations'!Avg_Sens_R</vt:lpstr>
      <vt:lpstr>'5221 Uncertainty Calculations'!Avg_Sens_Series_X</vt:lpstr>
      <vt:lpstr>'5321 Uncertainty Calculations'!Avg_Sens_Series_X</vt:lpstr>
      <vt:lpstr>'lb Uncertainty Calculations'!Avg_Sens_Series_X</vt:lpstr>
      <vt:lpstr>'5221 Uncertainty Calculations'!Cal_Rho_A_R</vt:lpstr>
      <vt:lpstr>'5321 Uncertainty Calculations'!Cal_Rho_A_R</vt:lpstr>
      <vt:lpstr>'lb Uncertainty Calculations'!Cal_Rho_A_R</vt:lpstr>
      <vt:lpstr>'5221 Uncertainty Calculations'!CCE_X</vt:lpstr>
      <vt:lpstr>'5321 Uncertainty Calculations'!CCE_X</vt:lpstr>
      <vt:lpstr>'lb Uncertainty Calculations'!CCE_X</vt:lpstr>
      <vt:lpstr>'5221 Uncertainty Calculations'!Eff_CCE_R</vt:lpstr>
      <vt:lpstr>'5321 Uncertainty Calculations'!Eff_CCE_R</vt:lpstr>
      <vt:lpstr>'lb Uncertainty Calculations'!Eff_CCE_R</vt:lpstr>
      <vt:lpstr>'5221 Uncertainty Calculations'!Eff_Rho_R</vt:lpstr>
      <vt:lpstr>'5321 Uncertainty Calculations'!Eff_Rho_R</vt:lpstr>
      <vt:lpstr>'lb Uncertainty Calculations'!Eff_Rho_R</vt:lpstr>
      <vt:lpstr>'5221 Uncertainty Calculations'!k_X</vt:lpstr>
      <vt:lpstr>'5321 Uncertainty Calculations'!k_X</vt:lpstr>
      <vt:lpstr>'lb Uncertainty Calculations'!k_X</vt:lpstr>
      <vt:lpstr>'5221 Uncertainty Calculations'!Max_d_t_R</vt:lpstr>
      <vt:lpstr>'5321 Uncertainty Calculations'!Max_d_t_R</vt:lpstr>
      <vt:lpstr>'lb Uncertainty Calculations'!Max_d_t_R</vt:lpstr>
      <vt:lpstr>'5221 Uncertainty Calculations'!Max_d_t_X</vt:lpstr>
      <vt:lpstr>'5321 Uncertainty Calculations'!Max_d_t_X</vt:lpstr>
      <vt:lpstr>'lb Uncertainty Calculations'!Max_d_t_X</vt:lpstr>
      <vt:lpstr>'5221 Uncertainty Calculations'!Max_Sens_R</vt:lpstr>
      <vt:lpstr>'5321 Uncertainty Calculations'!Max_Sens_R</vt:lpstr>
      <vt:lpstr>'lb Uncertainty Calculations'!Max_Sens_R</vt:lpstr>
      <vt:lpstr>'5221 Uncertainty Calculations'!Max_Sens_Series_X</vt:lpstr>
      <vt:lpstr>'5321 Uncertainty Calculations'!Max_Sens_Series_X</vt:lpstr>
      <vt:lpstr>'lb Uncertainty Calculations'!Max_Sens_Series_X</vt:lpstr>
      <vt:lpstr>'5221 Uncertainty Calculations'!MaxAi_R</vt:lpstr>
      <vt:lpstr>'5321 Uncertainty Calculations'!MaxAi_R</vt:lpstr>
      <vt:lpstr>'lb Uncertainty Calculations'!MaxAi_R</vt:lpstr>
      <vt:lpstr>'5221 Uncertainty Calculations'!Min_Sens_R</vt:lpstr>
      <vt:lpstr>'5321 Uncertainty Calculations'!Min_Sens_R</vt:lpstr>
      <vt:lpstr>'lb Uncertainty Calculations'!Min_Sens_R</vt:lpstr>
      <vt:lpstr>'5221 Uncertainty Calculations'!Min_Sens_Series_X</vt:lpstr>
      <vt:lpstr>'5321 Uncertainty Calculations'!Min_Sens_Series_X</vt:lpstr>
      <vt:lpstr>'lb Uncertainty Calculations'!Min_Sens_Series_X</vt:lpstr>
      <vt:lpstr>'5221 Uncertainty Calculations'!MinAi_R</vt:lpstr>
      <vt:lpstr>'5321 Uncertainty Calculations'!MinAi_R</vt:lpstr>
      <vt:lpstr>'lb Uncertainty Calculations'!MinAi_R</vt:lpstr>
      <vt:lpstr>'5221 Uncertainty Calculations'!MPE_X</vt:lpstr>
      <vt:lpstr>'5321 Uncertainty Calculations'!MPE_X</vt:lpstr>
      <vt:lpstr>'lb Uncertainty Calculations'!MPE_X</vt:lpstr>
      <vt:lpstr>'5221 Uncertainty Calculations'!Nom_R</vt:lpstr>
      <vt:lpstr>'5321 Uncertainty Calculations'!Nom_R</vt:lpstr>
      <vt:lpstr>'lb Uncertainty Calculations'!Nom_R</vt:lpstr>
      <vt:lpstr>'5221 Uncertainty Calculations'!Nom_X</vt:lpstr>
      <vt:lpstr>'5321 Uncertainty Calculations'!Nom_X</vt:lpstr>
      <vt:lpstr>'lb Uncertainty Calculations'!Nom_X</vt:lpstr>
      <vt:lpstr>'5221 Uncertainty Calculations'!Print_Area</vt:lpstr>
      <vt:lpstr>'5321 Uncertainty Calculations'!Print_Area</vt:lpstr>
      <vt:lpstr>'5221 Uncertainty Calculations'!Prop_Type_B_R</vt:lpstr>
      <vt:lpstr>'5321 Uncertainty Calculations'!Prop_Type_B_R</vt:lpstr>
      <vt:lpstr>'lb Uncertainty Calculations'!Prop_Type_B_R</vt:lpstr>
      <vt:lpstr>'5221 Uncertainty Calculations'!RhoA_R</vt:lpstr>
      <vt:lpstr>'5321 Uncertainty Calculations'!RhoA_R</vt:lpstr>
      <vt:lpstr>'lb Uncertainty Calculations'!RhoA_R</vt:lpstr>
      <vt:lpstr>'5221 Uncertainty Calculations'!RhoA_X</vt:lpstr>
      <vt:lpstr>'5321 Uncertainty Calculations'!RhoA_X</vt:lpstr>
      <vt:lpstr>'lb Uncertainty Calculations'!RhoA_X</vt:lpstr>
      <vt:lpstr>'5221 Uncertainty Calculations'!Type_A_of_series</vt:lpstr>
      <vt:lpstr>'5321 Uncertainty Calculations'!Type_A_of_series</vt:lpstr>
      <vt:lpstr>'lb Uncertainty Calculations'!Type_A_of_series</vt:lpstr>
      <vt:lpstr>'5221 Uncertainty Calculations'!u_BP_R</vt:lpstr>
      <vt:lpstr>'5321 Uncertainty Calculations'!u_BP_R</vt:lpstr>
      <vt:lpstr>'lb Uncertainty Calculations'!u_BP_R</vt:lpstr>
      <vt:lpstr>'5221 Uncertainty Calculations'!u_BP_X</vt:lpstr>
      <vt:lpstr>'5321 Uncertainty Calculations'!u_BP_X</vt:lpstr>
      <vt:lpstr>'lb Uncertainty Calculations'!u_BP_X</vt:lpstr>
      <vt:lpstr>'5221 Uncertainty Calculations'!u_Cal_R</vt:lpstr>
      <vt:lpstr>'5321 Uncertainty Calculations'!u_Cal_R</vt:lpstr>
      <vt:lpstr>'lb Uncertainty Calculations'!u_Cal_R</vt:lpstr>
      <vt:lpstr>'5221 Uncertainty Calculations'!u_Max_d_t_R</vt:lpstr>
      <vt:lpstr>'5321 Uncertainty Calculations'!u_Max_d_t_R</vt:lpstr>
      <vt:lpstr>'lb Uncertainty Calculations'!u_Max_d_t_R</vt:lpstr>
      <vt:lpstr>'5221 Uncertainty Calculations'!u_Max_d_t_X</vt:lpstr>
      <vt:lpstr>'5321 Uncertainty Calculations'!u_Max_d_t_X</vt:lpstr>
      <vt:lpstr>'lb Uncertainty Calculations'!u_Max_d_t_X</vt:lpstr>
      <vt:lpstr>'5221 Uncertainty Calculations'!u_R</vt:lpstr>
      <vt:lpstr>'5321 Uncertainty Calculations'!u_R</vt:lpstr>
      <vt:lpstr>'lb Uncertainty Calculations'!u_R</vt:lpstr>
      <vt:lpstr>'5221 Uncertainty Calculations'!u_RH_R</vt:lpstr>
      <vt:lpstr>'5321 Uncertainty Calculations'!u_RH_R</vt:lpstr>
      <vt:lpstr>'lb Uncertainty Calculations'!u_RH_R</vt:lpstr>
      <vt:lpstr>'5221 Uncertainty Calculations'!u_RH_X</vt:lpstr>
      <vt:lpstr>'5321 Uncertainty Calculations'!u_RH_X</vt:lpstr>
      <vt:lpstr>'lb Uncertainty Calculations'!u_RH_X</vt:lpstr>
      <vt:lpstr>'5221 Uncertainty Calculations'!u_Rho_R</vt:lpstr>
      <vt:lpstr>'5321 Uncertainty Calculations'!u_Rho_R</vt:lpstr>
      <vt:lpstr>'lb Uncertainty Calculations'!u_Rho_R</vt:lpstr>
      <vt:lpstr>'5221 Uncertainty Calculations'!u_Rho_X</vt:lpstr>
      <vt:lpstr>'5321 Uncertainty Calculations'!u_Rho_X</vt:lpstr>
      <vt:lpstr>'lb Uncertainty Calculations'!u_Rho_X</vt:lpstr>
      <vt:lpstr>'5221 Uncertainty Calculations'!u_Sens_R</vt:lpstr>
      <vt:lpstr>'5321 Uncertainty Calculations'!u_Sens_R</vt:lpstr>
      <vt:lpstr>'lb Uncertainty Calculations'!u_Sens_R</vt:lpstr>
      <vt:lpstr>'5221 Uncertainty Calculations'!u_Sens_X</vt:lpstr>
      <vt:lpstr>'5321 Uncertainty Calculations'!u_Sens_X</vt:lpstr>
      <vt:lpstr>'lb Uncertainty Calculations'!u_Sens_X</vt:lpstr>
      <vt:lpstr>'5221 Uncertainty Calculations'!u_Series1_X</vt:lpstr>
      <vt:lpstr>'5321 Uncertainty Calculations'!u_Series1_X</vt:lpstr>
      <vt:lpstr>'lb Uncertainty Calculations'!u_Series1_X</vt:lpstr>
      <vt:lpstr>'5221 Uncertainty Calculations'!u_t_R</vt:lpstr>
      <vt:lpstr>'5321 Uncertainty Calculations'!u_t_R</vt:lpstr>
      <vt:lpstr>'lb Uncertainty Calculations'!u_t_R</vt:lpstr>
      <vt:lpstr>'5221 Uncertainty Calculations'!u_t_X</vt:lpstr>
      <vt:lpstr>'5321 Uncertainty Calculations'!u_t_X</vt:lpstr>
      <vt:lpstr>'lb Uncertainty Calculations'!u_t_X</vt:lpstr>
      <vt:lpstr>'5221 Uncertainty Calculations'!u²_ABC_X</vt:lpstr>
      <vt:lpstr>'5321 Uncertainty Calculations'!u²_ABC_X</vt:lpstr>
      <vt:lpstr>'lb Uncertainty Calculations'!u²_ABC_X</vt:lpstr>
      <vt:lpstr>'5221 Uncertainty Calculations'!u²_R</vt:lpstr>
      <vt:lpstr>'5321 Uncertainty Calculations'!u²_R</vt:lpstr>
      <vt:lpstr>'lb Uncertainty Calculations'!u²_R</vt:lpstr>
      <vt:lpstr>'5221 Uncertainty Calculations'!uc_X</vt:lpstr>
      <vt:lpstr>'5321 Uncertainty Calculations'!uc_X</vt:lpstr>
      <vt:lpstr>'lb Uncertainty Calculations'!uc_X</vt:lpstr>
      <vt:lpstr>'5221 Uncertainty Calculations'!Uk_X</vt:lpstr>
      <vt:lpstr>'5321 Uncertainty Calculations'!Uk_X</vt:lpstr>
      <vt:lpstr>'lb Uncertainty Calculations'!Uk_X</vt:lpstr>
      <vt:lpstr>'5221 Uncertainty Calculations'!Vol_R</vt:lpstr>
      <vt:lpstr>'5321 Uncertainty Calculations'!Vol_R</vt:lpstr>
      <vt:lpstr>'lb Uncertainty Calculations'!Vol_R</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Additional Uncertainty Calcs for Designs</dc:title>
  <dc:creator>Miller, Val R.</dc:creator>
  <cp:keywords>mass code, weighing designs, mass calibration, uncertainties</cp:keywords>
  <dc:description>developed as supplement for creating appropriate uncertainties for using with the mass code output data</dc:description>
  <cp:lastModifiedBy>Miller, Val R. (Fed)</cp:lastModifiedBy>
  <cp:lastPrinted>2020-05-28T17:40:51Z</cp:lastPrinted>
  <dcterms:created xsi:type="dcterms:W3CDTF">2015-02-02T20:17:49Z</dcterms:created>
  <dcterms:modified xsi:type="dcterms:W3CDTF">2020-06-04T18:15:58Z</dcterms:modified>
  <cp:category>mass calibration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_B_R" linkTarget="Prop_Type_B_R">
    <vt:lpwstr>Cal Cert
U of Starting Restraint
(k=1)</vt:lpwstr>
  </property>
  <property fmtid="{D5CDD505-2E9C-101B-9397-08002B2CF9AE}" pid="3" name="u²_ABC_R" linkTarget="Prop_u²_ABC_R">
    <vt:r8>0</vt:r8>
  </property>
</Properties>
</file>