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Q:\CONTAM\_prj-files\_coupled\fmi\MZ320\MZ320-EPlus-91-CONTAM-34-fmu\"/>
    </mc:Choice>
  </mc:AlternateContent>
  <xr:revisionPtr revIDLastSave="0" documentId="13_ncr:1_{D8C923FA-CDD7-4B64-B5B5-A60B6C50EEBF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MZ320air" sheetId="7" r:id="rId1"/>
    <sheet name="EPlusResultTables" sheetId="8" r:id="rId2"/>
    <sheet name="Reference" sheetId="9" r:id="rId3"/>
  </sheets>
  <definedNames>
    <definedName name="ACR">MZ320air!$R$6</definedName>
    <definedName name="Cp_air">MZ320air!$R$3</definedName>
    <definedName name="dt_sec">MZ320air!$B$6</definedName>
    <definedName name="mdot">MZ320air!$R$8</definedName>
    <definedName name="mdot_OAtoC">MZ320air!$R$11</definedName>
    <definedName name="_xlnm.Print_Area" localSheetId="0">MZ320air!$B$1:$U$58</definedName>
    <definedName name="qintA">MZ320air!$L$19</definedName>
    <definedName name="qintB">MZ320air!$O$19</definedName>
    <definedName name="qintC">MZ320air!$R$19</definedName>
    <definedName name="QmixEp_AB">MZ320air!$P$49</definedName>
    <definedName name="QmixEp_BC">MZ320air!$P$48</definedName>
    <definedName name="Rat">MZ320air!$O$10</definedName>
    <definedName name="RHO_A">MZ320air!$P$46</definedName>
    <definedName name="RHO_B">MZ320air!$P$45</definedName>
    <definedName name="RHO_C">MZ320air!$P$44</definedName>
    <definedName name="RHOoa">MZ320air!$R$5</definedName>
    <definedName name="RHOstdEplus">MZ320air!$L$7</definedName>
    <definedName name="Tout">MZ320air!$O$12</definedName>
    <definedName name="TzoneA">MZ320air!$L$23</definedName>
    <definedName name="TzoneB">MZ320air!$O$23</definedName>
    <definedName name="TzoneC">MZ320air!$R$22</definedName>
    <definedName name="UAcom">MZ320air!$O$7</definedName>
    <definedName name="UAextAC">MZ320air!$O$8</definedName>
    <definedName name="UAextB">MZ320air!$N$9</definedName>
    <definedName name="UextB">MZ320air!$O$9</definedName>
    <definedName name="Vzone">MZ320air!$L$6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R54" i="7" l="1"/>
  <c r="L20" i="7" l="1"/>
  <c r="O20" i="7"/>
  <c r="R53" i="7" l="1"/>
  <c r="Q53" i="7"/>
  <c r="P53" i="7"/>
  <c r="P42" i="7" l="1"/>
  <c r="R5" i="7" l="1"/>
  <c r="P44" i="7"/>
  <c r="L6" i="7" l="1"/>
  <c r="R7" i="7" l="1"/>
  <c r="F12" i="7"/>
  <c r="O5" i="7"/>
  <c r="O4" i="7"/>
  <c r="O3" i="7"/>
  <c r="AB33" i="7"/>
  <c r="AA33" i="7"/>
  <c r="X33" i="7"/>
  <c r="W33" i="7"/>
  <c r="X27" i="7"/>
  <c r="Y24" i="7" s="1"/>
  <c r="Y23" i="7"/>
  <c r="Y33" i="7" s="1"/>
  <c r="Y22" i="7"/>
  <c r="Z22" i="7" s="1"/>
  <c r="AB15" i="7"/>
  <c r="AA15" i="7"/>
  <c r="Y14" i="7"/>
  <c r="Y8" i="7"/>
  <c r="Z8" i="7" s="1"/>
  <c r="Z16" i="7" s="1"/>
  <c r="X7" i="7"/>
  <c r="X15" i="7" s="1"/>
  <c r="W7" i="7"/>
  <c r="W15" i="7" s="1"/>
  <c r="Z6" i="7"/>
  <c r="Z14" i="7" s="1"/>
  <c r="R8" i="7" l="1"/>
  <c r="R11" i="7" s="1"/>
  <c r="P41" i="7"/>
  <c r="Y7" i="7"/>
  <c r="Y15" i="7" s="1"/>
  <c r="Y32" i="7"/>
  <c r="Z24" i="7"/>
  <c r="Z34" i="7" s="1"/>
  <c r="Y34" i="7"/>
  <c r="Z32" i="7"/>
  <c r="Z23" i="7"/>
  <c r="Z33" i="7" s="1"/>
  <c r="Y16" i="7"/>
  <c r="R27" i="7" l="1"/>
  <c r="R25" i="7"/>
  <c r="R26" i="7" s="1"/>
  <c r="R55" i="7" s="1"/>
  <c r="R10" i="7"/>
  <c r="Z7" i="7"/>
  <c r="Z15" i="7" s="1"/>
  <c r="Z25" i="7"/>
  <c r="O27" i="7" l="1"/>
  <c r="Q15" i="7" s="1"/>
  <c r="L27" i="7"/>
  <c r="R28" i="7"/>
  <c r="Z9" i="7"/>
  <c r="Z17" i="7" s="1"/>
  <c r="O8" i="7"/>
  <c r="R17" i="7" s="1"/>
  <c r="R18" i="7" s="1"/>
  <c r="O9" i="7"/>
  <c r="Y25" i="7"/>
  <c r="Y35" i="7" s="1"/>
  <c r="Z35" i="7"/>
  <c r="O7" i="7" l="1"/>
  <c r="Y9" i="7"/>
  <c r="Y17" i="7" s="1"/>
  <c r="O10" i="7" l="1"/>
  <c r="L23" i="7" s="1"/>
  <c r="P46" i="7" l="1"/>
  <c r="P49" i="7" s="1"/>
  <c r="O23" i="7"/>
  <c r="R23" i="7" s="1"/>
  <c r="D12" i="7"/>
  <c r="L17" i="7"/>
  <c r="L18" i="7" s="1"/>
  <c r="R9" i="7"/>
  <c r="O25" i="7" l="1"/>
  <c r="O26" i="7" s="1"/>
  <c r="Q54" i="7" s="1"/>
  <c r="L25" i="7"/>
  <c r="L26" i="7" s="1"/>
  <c r="P54" i="7" s="1"/>
  <c r="P45" i="7"/>
  <c r="P48" i="7" s="1"/>
  <c r="L21" i="7"/>
  <c r="O21" i="7"/>
  <c r="E12" i="7"/>
  <c r="O17" i="7"/>
  <c r="O18" i="7" s="1"/>
  <c r="R57" i="7" l="1"/>
  <c r="O22" i="7"/>
  <c r="P15" i="7" s="1"/>
  <c r="P56" i="7"/>
  <c r="L22" i="7"/>
  <c r="M15" i="7" s="1"/>
  <c r="Q56" i="7"/>
  <c r="L28" i="7"/>
  <c r="R24" i="7"/>
  <c r="G12" i="7"/>
  <c r="O28" i="7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Dols, William Stuart</author>
  </authors>
  <commentList>
    <comment ref="R19" authorId="0" shapeId="0" xr:uid="{00000000-0006-0000-0000-000001000000}">
      <text>
        <r>
          <rPr>
            <sz val="9"/>
            <color indexed="81"/>
            <rFont val="Tahoma"/>
            <family val="2"/>
          </rPr>
          <t>Ideally zero. Set fan pressure rises to 0.00 in Eplus to implement zero-energy fans.
So, either enter Fan energy added to zone/air stream, i.e., exh, sup, window a/c, here OR
Subtract it from cooling energy simulation results OR set Pressure Rise to 0.0.</t>
        </r>
      </text>
    </comment>
    <comment ref="P42" authorId="0" shapeId="0" xr:uid="{00000000-0006-0000-0000-000002000000}">
      <text>
        <r>
          <rPr>
            <sz val="9"/>
            <color indexed="81"/>
            <rFont val="Tahoma"/>
            <family val="2"/>
          </rPr>
          <t>Converted to mass flow rate using outdoor air density.</t>
        </r>
      </text>
    </comment>
  </commentList>
</comments>
</file>

<file path=xl/sharedStrings.xml><?xml version="1.0" encoding="utf-8"?>
<sst xmlns="http://schemas.openxmlformats.org/spreadsheetml/2006/main" count="249" uniqueCount="150">
  <si>
    <t>W</t>
  </si>
  <si>
    <t>Cooling</t>
  </si>
  <si>
    <t>Case</t>
  </si>
  <si>
    <t>Software:</t>
  </si>
  <si>
    <t>Analytical Solution</t>
  </si>
  <si>
    <t>Version:</t>
  </si>
  <si>
    <t>W/K</t>
  </si>
  <si>
    <t>Date:</t>
  </si>
  <si>
    <t>To</t>
  </si>
  <si>
    <t>°C</t>
  </si>
  <si>
    <t>Zone Air Temperatures</t>
  </si>
  <si>
    <t>Load</t>
  </si>
  <si>
    <t>(°C)</t>
  </si>
  <si>
    <t>(W or Wh/h)</t>
  </si>
  <si>
    <t>k wall</t>
  </si>
  <si>
    <t>W/mK</t>
  </si>
  <si>
    <t>Tc</t>
  </si>
  <si>
    <t>t wall</t>
  </si>
  <si>
    <t>m</t>
  </si>
  <si>
    <t>Common Walls</t>
  </si>
  <si>
    <t>Conductivity</t>
  </si>
  <si>
    <t>Thickness</t>
  </si>
  <si>
    <t>Conductance</t>
  </si>
  <si>
    <t>Resistance</t>
  </si>
  <si>
    <t>Density</t>
  </si>
  <si>
    <t>Specific Heat</t>
  </si>
  <si>
    <t>Zone A</t>
  </si>
  <si>
    <t>Zone B</t>
  </si>
  <si>
    <t>Zone C</t>
  </si>
  <si>
    <t>Element</t>
  </si>
  <si>
    <t xml:space="preserve"> (W/(m·K))</t>
  </si>
  <si>
    <t xml:space="preserve"> (m)</t>
  </si>
  <si>
    <r>
      <t xml:space="preserve"> (W/(m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·K))</t>
    </r>
  </si>
  <si>
    <r>
      <t xml:space="preserve"> (m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·K/W)</t>
    </r>
  </si>
  <si>
    <r>
      <t>(kg/m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>)</t>
    </r>
  </si>
  <si>
    <t>(J/(kg·K))</t>
  </si>
  <si>
    <t>Int Combined Surf Coef</t>
  </si>
  <si>
    <t>Common Wall Material</t>
  </si>
  <si>
    <t>Total air-air</t>
  </si>
  <si>
    <t>IP using ASHRAE (2001) Conversion Factors</t>
  </si>
  <si>
    <t>(Btu/(h·ft°·F))</t>
  </si>
  <si>
    <t xml:space="preserve"> (ft)</t>
  </si>
  <si>
    <r>
      <t xml:space="preserve"> (Btu/(h·ft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·°F))</t>
    </r>
  </si>
  <si>
    <r>
      <t xml:space="preserve"> (h·ft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·°F/Btu)</t>
    </r>
  </si>
  <si>
    <r>
      <t>(lb/ft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>)</t>
    </r>
  </si>
  <si>
    <t>(Btu/(lb·°F))</t>
  </si>
  <si>
    <t>Exterior walls/roof/floor</t>
  </si>
  <si>
    <t>Exterior Wall Material</t>
  </si>
  <si>
    <t>Ext Combined Surf Coef</t>
  </si>
  <si>
    <t>ext coeff corresponds w/</t>
  </si>
  <si>
    <t>windspeed</t>
  </si>
  <si>
    <t>m/s</t>
  </si>
  <si>
    <t>surf coeff</t>
  </si>
  <si>
    <t>W/m2K</t>
  </si>
  <si>
    <t xml:space="preserve">    brick/rough plaster</t>
  </si>
  <si>
    <t>MZ-Results-Annuals.xls!Analytical-MZ320</t>
  </si>
  <si>
    <t>Neymark modified by Dols</t>
  </si>
  <si>
    <t xml:space="preserve"> June 2005 / May 2014</t>
  </si>
  <si>
    <t>MZ320air</t>
  </si>
  <si>
    <t>Hzone</t>
  </si>
  <si>
    <t>Vzone</t>
  </si>
  <si>
    <t>Acom</t>
  </si>
  <si>
    <t>AextAC</t>
  </si>
  <si>
    <t>AextB</t>
  </si>
  <si>
    <t>m2</t>
  </si>
  <si>
    <t>m3</t>
  </si>
  <si>
    <t>Cp</t>
  </si>
  <si>
    <t>J/kg-C</t>
  </si>
  <si>
    <t>ACH</t>
  </si>
  <si>
    <t>1/h</t>
  </si>
  <si>
    <t>kg/m3</t>
  </si>
  <si>
    <t>kg/s</t>
  </si>
  <si>
    <t>Lwall1</t>
  </si>
  <si>
    <t>Lwall2</t>
  </si>
  <si>
    <t>Rat</t>
  </si>
  <si>
    <r>
      <t>q</t>
    </r>
    <r>
      <rPr>
        <b/>
        <vertAlign val="subscript"/>
        <sz val="12"/>
        <rFont val="Arial"/>
        <family val="2"/>
      </rPr>
      <t>AO</t>
    </r>
  </si>
  <si>
    <r>
      <t>q</t>
    </r>
    <r>
      <rPr>
        <vertAlign val="subscript"/>
        <sz val="12"/>
        <rFont val="Arial"/>
        <family val="2"/>
      </rPr>
      <t>intA</t>
    </r>
  </si>
  <si>
    <r>
      <t>q</t>
    </r>
    <r>
      <rPr>
        <b/>
        <vertAlign val="subscript"/>
        <sz val="12"/>
        <rFont val="Arial"/>
        <family val="2"/>
      </rPr>
      <t>AB</t>
    </r>
  </si>
  <si>
    <r>
      <t>T</t>
    </r>
    <r>
      <rPr>
        <b/>
        <vertAlign val="subscript"/>
        <sz val="12"/>
        <rFont val="Arial"/>
        <family val="2"/>
      </rPr>
      <t>A</t>
    </r>
  </si>
  <si>
    <r>
      <t>q</t>
    </r>
    <r>
      <rPr>
        <b/>
        <vertAlign val="subscript"/>
        <sz val="12"/>
        <rFont val="Arial"/>
        <family val="2"/>
      </rPr>
      <t>BO</t>
    </r>
  </si>
  <si>
    <r>
      <t>q</t>
    </r>
    <r>
      <rPr>
        <vertAlign val="subscript"/>
        <sz val="12"/>
        <rFont val="Arial"/>
        <family val="2"/>
      </rPr>
      <t>intB</t>
    </r>
  </si>
  <si>
    <r>
      <t>q</t>
    </r>
    <r>
      <rPr>
        <b/>
        <vertAlign val="subscript"/>
        <sz val="12"/>
        <rFont val="Arial"/>
        <family val="2"/>
      </rPr>
      <t>BC</t>
    </r>
  </si>
  <si>
    <r>
      <t>T</t>
    </r>
    <r>
      <rPr>
        <b/>
        <vertAlign val="subscript"/>
        <sz val="12"/>
        <rFont val="Arial"/>
        <family val="2"/>
      </rPr>
      <t>B</t>
    </r>
  </si>
  <si>
    <r>
      <t>q</t>
    </r>
    <r>
      <rPr>
        <b/>
        <vertAlign val="subscript"/>
        <sz val="12"/>
        <rFont val="Arial"/>
        <family val="2"/>
      </rPr>
      <t>CO</t>
    </r>
  </si>
  <si>
    <r>
      <t>q</t>
    </r>
    <r>
      <rPr>
        <vertAlign val="subscript"/>
        <sz val="12"/>
        <rFont val="Arial"/>
        <family val="2"/>
      </rPr>
      <t>intC</t>
    </r>
  </si>
  <si>
    <r>
      <t>q</t>
    </r>
    <r>
      <rPr>
        <b/>
        <vertAlign val="subscript"/>
        <sz val="12"/>
        <rFont val="Arial"/>
        <family val="2"/>
      </rPr>
      <t>C</t>
    </r>
  </si>
  <si>
    <r>
      <t>T</t>
    </r>
    <r>
      <rPr>
        <b/>
        <vertAlign val="subscript"/>
        <sz val="12"/>
        <rFont val="Arial"/>
        <family val="2"/>
      </rPr>
      <t>C</t>
    </r>
  </si>
  <si>
    <t>GJ</t>
  </si>
  <si>
    <t>Tair</t>
  </si>
  <si>
    <r>
      <t>UA</t>
    </r>
    <r>
      <rPr>
        <vertAlign val="subscript"/>
        <sz val="12"/>
        <rFont val="Arial"/>
        <family val="2"/>
      </rPr>
      <t>com</t>
    </r>
  </si>
  <si>
    <r>
      <t>UA</t>
    </r>
    <r>
      <rPr>
        <vertAlign val="subscript"/>
        <sz val="12"/>
        <rFont val="Arial"/>
        <family val="2"/>
      </rPr>
      <t>extAC</t>
    </r>
  </si>
  <si>
    <r>
      <t>UA</t>
    </r>
    <r>
      <rPr>
        <vertAlign val="subscript"/>
        <sz val="12"/>
        <rFont val="Arial"/>
        <family val="2"/>
      </rPr>
      <t>extB</t>
    </r>
  </si>
  <si>
    <t>ZoneInfiltrationDesignFlowRate</t>
  </si>
  <si>
    <t>Qinf</t>
  </si>
  <si>
    <t>m3/s</t>
  </si>
  <si>
    <t>kg/h</t>
  </si>
  <si>
    <t>RHOzoneC</t>
  </si>
  <si>
    <t>RHOzoneB</t>
  </si>
  <si>
    <t>RHOzoneA</t>
  </si>
  <si>
    <t>QmixZoneCtoB</t>
  </si>
  <si>
    <t>QmixZoneBtoA</t>
  </si>
  <si>
    <t>EnergyPlus IDF Input</t>
  </si>
  <si>
    <t>MZ320af1 Steady State Results</t>
  </si>
  <si>
    <t>RHOoa</t>
  </si>
  <si>
    <t>ZoneMixing (Qij, from j-into-i)</t>
  </si>
  <si>
    <r>
      <t>Q</t>
    </r>
    <r>
      <rPr>
        <vertAlign val="subscript"/>
        <sz val="14"/>
        <rFont val="Calibri"/>
        <family val="2"/>
        <scheme val="minor"/>
      </rPr>
      <t>ij-EP</t>
    </r>
    <r>
      <rPr>
        <sz val="14"/>
        <rFont val="Calibri"/>
        <family val="2"/>
        <scheme val="minor"/>
      </rPr>
      <t xml:space="preserve"> = ACR V </t>
    </r>
    <r>
      <rPr>
        <sz val="14"/>
        <rFont val="Symbol"/>
        <family val="1"/>
        <charset val="2"/>
      </rPr>
      <t>r</t>
    </r>
    <r>
      <rPr>
        <vertAlign val="subscript"/>
        <sz val="14"/>
        <rFont val="Calibri"/>
        <family val="2"/>
        <scheme val="minor"/>
      </rPr>
      <t>j</t>
    </r>
    <r>
      <rPr>
        <sz val="14"/>
        <rFont val="Calibri"/>
        <family val="2"/>
        <scheme val="minor"/>
      </rPr>
      <t>/</t>
    </r>
    <r>
      <rPr>
        <sz val="14"/>
        <rFont val="Symbol"/>
        <family val="1"/>
        <charset val="2"/>
      </rPr>
      <t>r</t>
    </r>
    <r>
      <rPr>
        <vertAlign val="subscript"/>
        <sz val="14"/>
        <rFont val="Calibri"/>
        <family val="2"/>
        <scheme val="minor"/>
      </rPr>
      <t>i</t>
    </r>
  </si>
  <si>
    <t>RHOstdEplus</t>
  </si>
  <si>
    <t>Sensible Heat Gain Summary (…Table.html)</t>
  </si>
  <si>
    <t>Interzone Air Transfer Heat Removal</t>
  </si>
  <si>
    <t>Opaque Surface Conduction and Other Heat Removal</t>
  </si>
  <si>
    <t>[W]</t>
  </si>
  <si>
    <t>[GJ]</t>
  </si>
  <si>
    <t>Opaque Surface Conduction and Other Heat Addition</t>
  </si>
  <si>
    <t>Infiltration Heat Addition</t>
  </si>
  <si>
    <t>-</t>
  </si>
  <si>
    <t>MdotOA-C</t>
  </si>
  <si>
    <t>MdotMix</t>
  </si>
  <si>
    <t>MZ320 plus Airflow (w/ AHS and Window A/C) Analytical Solution</t>
  </si>
  <si>
    <r>
      <rPr>
        <sz val="10"/>
        <rFont val="Arial"/>
        <family val="2"/>
      </rPr>
      <t xml:space="preserve">Zone C uses a </t>
    </r>
    <r>
      <rPr>
        <b/>
        <sz val="10"/>
        <rFont val="Arial"/>
        <family val="2"/>
      </rPr>
      <t>ZoneHVAC:WindowAirConditioner</t>
    </r>
    <r>
      <rPr>
        <sz val="10"/>
        <rFont val="Arial"/>
        <family val="2"/>
      </rPr>
      <t xml:space="preserve"> to provide cooling.</t>
    </r>
  </si>
  <si>
    <t>A simple air handling system in CONTAM is utilized in ZoneC.</t>
  </si>
  <si>
    <r>
      <t xml:space="preserve">A </t>
    </r>
    <r>
      <rPr>
        <b/>
        <sz val="11"/>
        <color theme="1"/>
        <rFont val="Calibri"/>
        <family val="2"/>
        <scheme val="minor"/>
      </rPr>
      <t>Fan:ZoneExhaust</t>
    </r>
    <r>
      <rPr>
        <sz val="11"/>
        <color theme="1"/>
        <rFont val="Calibri"/>
        <family val="2"/>
        <scheme val="minor"/>
      </rPr>
      <t xml:space="preserve"> is used to provide an imbalance of flow out of ZoneC thus leading to Mixed airflow into ZoneB</t>
    </r>
  </si>
  <si>
    <t xml:space="preserve">    Perhaps this could be implemented via a control/fmu item.</t>
  </si>
  <si>
    <t>NOTES</t>
  </si>
  <si>
    <t>The A/C was obtained from BESTEST CE100 (figure at bottom left).</t>
  </si>
  <si>
    <t xml:space="preserve">    It employs a Balanced Exhaust Fraction Schedule of 0.0 to drive overpressurizaton of the zone.</t>
  </si>
  <si>
    <t xml:space="preserve">    Balanced =&gt; exhaust flow is balanced by Mixing/Infiltration flows. So a schedule of 0.0 =&gt; OA is brought in via</t>
  </si>
  <si>
    <t xml:space="preserve">        the OASystem to make up for the exhaust flow:  Qoa = QoaMin + Qexh_unbalance</t>
  </si>
  <si>
    <t>EnergyTransfer:HVAC</t>
  </si>
  <si>
    <t>Annual and Peak Values - Other</t>
  </si>
  <si>
    <t>Annual Value [GJ]</t>
  </si>
  <si>
    <t>EnergyTransfer:Facility</t>
  </si>
  <si>
    <t>EnergyTransfer:Building</t>
  </si>
  <si>
    <t>EnergyTransfer:Zone:1_ZONEA</t>
  </si>
  <si>
    <t>Heating:EnergyTransfer</t>
  </si>
  <si>
    <t>Heating:EnergyTransfer:Zone:1_ZONEA</t>
  </si>
  <si>
    <t>Cooling:EnergyTransfer</t>
  </si>
  <si>
    <t>Cooling:EnergyTransfer:Zone:1_ZONEA</t>
  </si>
  <si>
    <t>EnergyTransfer:Zone:1_ZONEB</t>
  </si>
  <si>
    <t>Heating:EnergyTransfer:Zone:1_ZONEB</t>
  </si>
  <si>
    <t>Cooling:EnergyTransfer:Zone:1_ZONEB</t>
  </si>
  <si>
    <t>EnergyTransfer:Zone:1_ZONEC</t>
  </si>
  <si>
    <t>Heating:EnergyTransfer:Zone:1_ZONEC</t>
  </si>
  <si>
    <t>Cooling:EnergyTransfer:Zone:1_ZONEC</t>
  </si>
  <si>
    <t>CoolingCoils:EnergyTransfer</t>
  </si>
  <si>
    <t>MZ320-WindowACTable.csv</t>
  </si>
  <si>
    <t>Site and Source Energy</t>
  </si>
  <si>
    <t>Total Energy [GJ]</t>
  </si>
  <si>
    <t>Total Site Energy</t>
  </si>
  <si>
    <r>
      <t xml:space="preserve">Dols, W.S., S.J. Emmerich, and B.J. Polidoro, </t>
    </r>
    <r>
      <rPr>
        <i/>
        <sz val="11"/>
        <color theme="1"/>
        <rFont val="Calibri"/>
        <family val="2"/>
        <scheme val="minor"/>
      </rPr>
      <t>Coupling the Multizone Airflow and Contaminant Transport Software CONTAM with EnergyPlus using Co-simulation</t>
    </r>
    <r>
      <rPr>
        <sz val="11"/>
        <color theme="1"/>
        <rFont val="Calibri"/>
        <family val="2"/>
        <scheme val="minor"/>
      </rPr>
      <t>. Building Simulation, 2016. 9: p. 469-479.</t>
    </r>
  </si>
  <si>
    <t>MZ320-IdealLoadsTable.csv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</si>
</sst>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3" formatCode="_(* #,##0.00_);_(* \(#,##0.00\);_(* &quot;-&quot;??_);_(@_)"/>
    <numFmt numFmtId="164" formatCode="0.0000"/>
    <numFmt numFmtId="165" formatCode="_(* #,##0.000_);_(* \(#,##0.000\);_(* &quot;-&quot;??_);_(@_)"/>
    <numFmt numFmtId="166" formatCode="_(* #,##0.0000_);_(* \(#,##0.0000\);_(* &quot;-&quot;??_);_(@_)"/>
    <numFmt numFmtId="167" formatCode="0.00000"/>
    <numFmt numFmtId="168" formatCode="_(* #,##0.000000_);_(* \(#,##0.000000\);_(* &quot;-&quot;??_);_(@_)"/>
    <numFmt numFmtId="169" formatCode="_(* #,##0.00000_);_(* \(#,##0.00000\);_(* &quot;-&quot;??_);_(@_)"/>
    <numFmt numFmtId="170" formatCode="0.00\ \ \ \ "/>
    <numFmt numFmtId="171" formatCode="0.000000"/>
    <numFmt numFmtId="172" formatCode="_(* #,##0_);_(* \(#,##0\);_(* &quot;-&quot;??_);_(@_)"/>
    <numFmt numFmtId="173" formatCode="0.000"/>
  </numFmts>
  <fonts count="4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0"/>
      <name val="Arial"/>
      <family val="2"/>
    </font>
    <font>
      <b/>
      <i/>
      <sz val="10"/>
      <name val="Arial"/>
      <family val="2"/>
    </font>
    <font>
      <sz val="8"/>
      <name val="Arial"/>
      <family val="2"/>
    </font>
    <font>
      <sz val="10"/>
      <name val="SWISS"/>
    </font>
    <font>
      <b/>
      <sz val="10"/>
      <name val="SWISS"/>
    </font>
    <font>
      <b/>
      <vertAlign val="superscript"/>
      <sz val="1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vertAlign val="subscript"/>
      <sz val="12"/>
      <name val="Arial"/>
      <family val="2"/>
    </font>
    <font>
      <sz val="12"/>
      <color theme="1"/>
      <name val="Calibri"/>
      <family val="2"/>
      <scheme val="minor"/>
    </font>
    <font>
      <sz val="12"/>
      <name val="SWISS"/>
    </font>
    <font>
      <vertAlign val="subscript"/>
      <sz val="12"/>
      <name val="Arial"/>
      <family val="2"/>
    </font>
    <font>
      <b/>
      <sz val="12"/>
      <color theme="1"/>
      <name val="Arial"/>
      <family val="2"/>
    </font>
    <font>
      <b/>
      <sz val="14"/>
      <color theme="1"/>
      <name val="Calibri"/>
      <family val="2"/>
      <scheme val="minor"/>
    </font>
    <font>
      <sz val="14"/>
      <name val="Calibri"/>
      <family val="2"/>
      <scheme val="minor"/>
    </font>
    <font>
      <vertAlign val="subscript"/>
      <sz val="14"/>
      <name val="Calibri"/>
      <family val="2"/>
      <scheme val="minor"/>
    </font>
    <font>
      <sz val="14"/>
      <name val="Symbol"/>
      <family val="1"/>
      <charset val="2"/>
    </font>
    <font>
      <sz val="9"/>
      <color indexed="81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SWISS"/>
    </font>
    <font>
      <b/>
      <sz val="12"/>
      <color theme="4"/>
      <name val="Arial"/>
      <family val="2"/>
    </font>
    <font>
      <sz val="11"/>
      <color theme="5" tint="0.39997558519241921"/>
      <name val="Calibri"/>
      <family val="2"/>
      <scheme val="minor"/>
    </font>
    <font>
      <b/>
      <sz val="11"/>
      <color theme="5"/>
      <name val="Calibri"/>
      <family val="2"/>
      <scheme val="minor"/>
    </font>
    <font>
      <b/>
      <sz val="11"/>
      <color theme="4"/>
      <name val="Calibri"/>
      <family val="2"/>
      <scheme val="minor"/>
    </font>
    <font>
      <b/>
      <sz val="12"/>
      <color theme="5"/>
      <name val="Arial"/>
      <family val="2"/>
    </font>
    <font>
      <sz val="12"/>
      <color theme="1"/>
      <name val="Arial"/>
      <family val="2"/>
    </font>
    <font>
      <b/>
      <sz val="12"/>
      <color rgb="FFFF0000"/>
      <name val="Arial"/>
      <family val="2"/>
    </font>
    <font>
      <b/>
      <sz val="11"/>
      <color rgb="FF3F3F76"/>
      <name val="Calibri"/>
      <family val="2"/>
      <scheme val="minor"/>
    </font>
    <font>
      <b/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</fills>
  <borders count="5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rgb="FFB2B2B2"/>
      </bottom>
      <diagonal/>
    </border>
    <border>
      <left/>
      <right/>
      <top style="medium">
        <color indexed="64"/>
      </top>
      <bottom style="thin">
        <color rgb="FFB2B2B2"/>
      </bottom>
      <diagonal/>
    </border>
    <border>
      <left/>
      <right style="medium">
        <color indexed="64"/>
      </right>
      <top style="medium">
        <color indexed="64"/>
      </top>
      <bottom style="thin">
        <color rgb="FFB2B2B2"/>
      </bottom>
      <diagonal/>
    </border>
  </borders>
  <cellStyleXfs count="43">
    <xf numFmtId="0" fontId="0" fillId="0" borderId="0"/>
    <xf numFmtId="43" fontId="1" fillId="0" borderId="0" applyFont="0" applyFill="0" applyBorder="0" applyAlignment="0" applyProtection="0"/>
    <xf numFmtId="0" fontId="3" fillId="2" borderId="1" applyNumberFormat="0" applyAlignment="0" applyProtection="0"/>
    <xf numFmtId="0" fontId="1" fillId="3" borderId="47" applyNumberFormat="0" applyFont="0" applyAlignment="0" applyProtection="0"/>
    <xf numFmtId="0" fontId="22" fillId="0" borderId="0" applyNumberFormat="0" applyFill="0" applyBorder="0" applyAlignment="0" applyProtection="0"/>
    <xf numFmtId="0" fontId="23" fillId="0" borderId="48" applyNumberFormat="0" applyFill="0" applyAlignment="0" applyProtection="0"/>
    <xf numFmtId="0" fontId="24" fillId="0" borderId="49" applyNumberFormat="0" applyFill="0" applyAlignment="0" applyProtection="0"/>
    <xf numFmtId="0" fontId="25" fillId="0" borderId="50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7" fillId="5" borderId="0" applyNumberFormat="0" applyBorder="0" applyAlignment="0" applyProtection="0"/>
    <xf numFmtId="0" fontId="28" fillId="6" borderId="0" applyNumberFormat="0" applyBorder="0" applyAlignment="0" applyProtection="0"/>
    <xf numFmtId="0" fontId="29" fillId="7" borderId="51" applyNumberFormat="0" applyAlignment="0" applyProtection="0"/>
    <xf numFmtId="0" fontId="30" fillId="7" borderId="1" applyNumberFormat="0" applyAlignment="0" applyProtection="0"/>
    <xf numFmtId="0" fontId="31" fillId="0" borderId="52" applyNumberFormat="0" applyFill="0" applyAlignment="0" applyProtection="0"/>
    <xf numFmtId="0" fontId="32" fillId="8" borderId="53" applyNumberFormat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2" fillId="0" borderId="54" applyNumberFormat="0" applyFill="0" applyAlignment="0" applyProtection="0"/>
    <xf numFmtId="0" fontId="35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35" fillId="12" borderId="0" applyNumberFormat="0" applyBorder="0" applyAlignment="0" applyProtection="0"/>
    <xf numFmtId="0" fontId="35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5" fillId="16" borderId="0" applyNumberFormat="0" applyBorder="0" applyAlignment="0" applyProtection="0"/>
    <xf numFmtId="0" fontId="35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5" fillId="20" borderId="0" applyNumberFormat="0" applyBorder="0" applyAlignment="0" applyProtection="0"/>
    <xf numFmtId="0" fontId="35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5" fillId="24" borderId="0" applyNumberFormat="0" applyBorder="0" applyAlignment="0" applyProtection="0"/>
    <xf numFmtId="0" fontId="35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5" fillId="28" borderId="0" applyNumberFormat="0" applyBorder="0" applyAlignment="0" applyProtection="0"/>
    <xf numFmtId="0" fontId="35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5" fillId="32" borderId="0" applyNumberFormat="0" applyBorder="0" applyAlignment="0" applyProtection="0"/>
  </cellStyleXfs>
  <cellXfs count="202">
    <xf numFmtId="0" fontId="0" fillId="0" borderId="0" xfId="0"/>
    <xf numFmtId="43" fontId="0" fillId="0" borderId="0" xfId="1" applyFont="1"/>
    <xf numFmtId="0" fontId="0" fillId="0" borderId="0" xfId="0" applyNumberFormat="1"/>
    <xf numFmtId="0" fontId="0" fillId="0" borderId="0" xfId="0" applyNumberFormat="1" applyFill="1"/>
    <xf numFmtId="0" fontId="4" fillId="0" borderId="0" xfId="0" applyFont="1"/>
    <xf numFmtId="0" fontId="4" fillId="0" borderId="2" xfId="0" applyFont="1" applyBorder="1" applyProtection="1"/>
    <xf numFmtId="0" fontId="5" fillId="0" borderId="0" xfId="0" applyFont="1" applyAlignment="1">
      <alignment horizontal="right"/>
    </xf>
    <xf numFmtId="0" fontId="5" fillId="0" borderId="0" xfId="0" applyNumberFormat="1" applyFont="1"/>
    <xf numFmtId="0" fontId="4" fillId="0" borderId="5" xfId="0" applyFont="1" applyBorder="1" applyProtection="1"/>
    <xf numFmtId="0" fontId="0" fillId="0" borderId="0" xfId="0" applyAlignment="1">
      <alignment horizontal="right"/>
    </xf>
    <xf numFmtId="0" fontId="4" fillId="0" borderId="7" xfId="0" applyFont="1" applyBorder="1" applyProtection="1"/>
    <xf numFmtId="0" fontId="4" fillId="0" borderId="0" xfId="0" applyFont="1" applyBorder="1" applyProtection="1"/>
    <xf numFmtId="0" fontId="0" fillId="0" borderId="0" xfId="0" applyBorder="1" applyAlignment="1" applyProtection="1">
      <alignment horizontal="left"/>
    </xf>
    <xf numFmtId="0" fontId="0" fillId="0" borderId="0" xfId="0" applyProtection="1"/>
    <xf numFmtId="0" fontId="0" fillId="0" borderId="2" xfId="0" applyBorder="1" applyProtection="1"/>
    <xf numFmtId="0" fontId="0" fillId="0" borderId="3" xfId="0" applyBorder="1" applyAlignment="1" applyProtection="1">
      <alignment horizontal="center"/>
    </xf>
    <xf numFmtId="0" fontId="4" fillId="0" borderId="10" xfId="0" applyFont="1" applyBorder="1" applyAlignment="1" applyProtection="1">
      <alignment horizontal="center"/>
    </xf>
    <xf numFmtId="0" fontId="0" fillId="0" borderId="4" xfId="0" applyBorder="1" applyAlignment="1" applyProtection="1">
      <alignment horizontal="center"/>
    </xf>
    <xf numFmtId="0" fontId="0" fillId="0" borderId="0" xfId="0" applyBorder="1" applyAlignment="1">
      <alignment horizontal="right"/>
    </xf>
    <xf numFmtId="0" fontId="0" fillId="0" borderId="0" xfId="0" applyNumberFormat="1" applyBorder="1"/>
    <xf numFmtId="0" fontId="4" fillId="0" borderId="5" xfId="0" applyFont="1" applyBorder="1" applyAlignment="1" applyProtection="1">
      <alignment horizontal="center"/>
    </xf>
    <xf numFmtId="0" fontId="0" fillId="0" borderId="11" xfId="0" applyBorder="1" applyAlignment="1" applyProtection="1">
      <alignment horizontal="center"/>
    </xf>
    <xf numFmtId="0" fontId="0" fillId="0" borderId="12" xfId="0" applyBorder="1" applyAlignment="1" applyProtection="1">
      <alignment horizontal="center"/>
    </xf>
    <xf numFmtId="0" fontId="4" fillId="0" borderId="13" xfId="0" applyFont="1" applyBorder="1" applyAlignment="1" applyProtection="1">
      <alignment horizontal="center"/>
    </xf>
    <xf numFmtId="0" fontId="0" fillId="0" borderId="0" xfId="0" applyBorder="1" applyAlignment="1" applyProtection="1">
      <alignment horizontal="center"/>
    </xf>
    <xf numFmtId="0" fontId="0" fillId="0" borderId="14" xfId="0" applyBorder="1" applyProtection="1"/>
    <xf numFmtId="0" fontId="4" fillId="0" borderId="15" xfId="0" applyFont="1" applyBorder="1" applyAlignment="1" applyProtection="1">
      <alignment horizontal="center"/>
    </xf>
    <xf numFmtId="0" fontId="0" fillId="0" borderId="16" xfId="0" applyBorder="1" applyProtection="1"/>
    <xf numFmtId="0" fontId="4" fillId="0" borderId="17" xfId="0" applyFont="1" applyBorder="1" applyAlignment="1" applyProtection="1">
      <alignment horizontal="center"/>
    </xf>
    <xf numFmtId="0" fontId="0" fillId="0" borderId="5" xfId="0" applyBorder="1" applyProtection="1"/>
    <xf numFmtId="0" fontId="4" fillId="0" borderId="0" xfId="0" applyFont="1" applyBorder="1" applyAlignment="1" applyProtection="1">
      <alignment horizontal="center"/>
    </xf>
    <xf numFmtId="0" fontId="0" fillId="0" borderId="21" xfId="0" applyBorder="1"/>
    <xf numFmtId="0" fontId="0" fillId="0" borderId="22" xfId="0" applyBorder="1"/>
    <xf numFmtId="0" fontId="0" fillId="0" borderId="23" xfId="0" applyBorder="1"/>
    <xf numFmtId="0" fontId="0" fillId="0" borderId="14" xfId="0" applyBorder="1" applyAlignment="1" applyProtection="1">
      <alignment horizontal="center"/>
    </xf>
    <xf numFmtId="0" fontId="0" fillId="0" borderId="16" xfId="0" applyBorder="1" applyAlignment="1" applyProtection="1">
      <alignment horizontal="center"/>
    </xf>
    <xf numFmtId="0" fontId="0" fillId="0" borderId="24" xfId="0" applyBorder="1" applyAlignment="1" applyProtection="1">
      <alignment horizontal="center"/>
    </xf>
    <xf numFmtId="0" fontId="6" fillId="0" borderId="17" xfId="0" applyFont="1" applyBorder="1" applyAlignment="1" applyProtection="1">
      <alignment horizontal="center"/>
    </xf>
    <xf numFmtId="0" fontId="0" fillId="0" borderId="25" xfId="0" applyBorder="1"/>
    <xf numFmtId="0" fontId="0" fillId="0" borderId="0" xfId="0" applyBorder="1"/>
    <xf numFmtId="0" fontId="0" fillId="0" borderId="26" xfId="0" applyBorder="1"/>
    <xf numFmtId="0" fontId="0" fillId="0" borderId="27" xfId="0" applyBorder="1" applyProtection="1"/>
    <xf numFmtId="0" fontId="7" fillId="0" borderId="0" xfId="0" applyFont="1"/>
    <xf numFmtId="0" fontId="4" fillId="0" borderId="0" xfId="0" applyFont="1" applyAlignment="1">
      <alignment horizontal="right"/>
    </xf>
    <xf numFmtId="0" fontId="4" fillId="0" borderId="0" xfId="0" applyNumberFormat="1" applyFont="1"/>
    <xf numFmtId="0" fontId="8" fillId="0" borderId="0" xfId="0" applyFont="1" applyAlignment="1">
      <alignment horizontal="right"/>
    </xf>
    <xf numFmtId="0" fontId="8" fillId="0" borderId="0" xfId="0" applyNumberFormat="1" applyFont="1"/>
    <xf numFmtId="0" fontId="7" fillId="0" borderId="25" xfId="0" applyFont="1" applyBorder="1"/>
    <xf numFmtId="0" fontId="7" fillId="0" borderId="0" xfId="0" applyFont="1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4" fillId="0" borderId="35" xfId="0" applyFont="1" applyBorder="1" applyAlignment="1">
      <alignment horizontal="center"/>
    </xf>
    <xf numFmtId="0" fontId="4" fillId="0" borderId="36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37" xfId="0" applyFont="1" applyBorder="1"/>
    <xf numFmtId="0" fontId="4" fillId="0" borderId="0" xfId="0" applyFont="1" applyBorder="1" applyAlignment="1">
      <alignment horizontal="center"/>
    </xf>
    <xf numFmtId="0" fontId="4" fillId="0" borderId="38" xfId="0" applyFont="1" applyBorder="1" applyAlignment="1">
      <alignment horizontal="center"/>
    </xf>
    <xf numFmtId="0" fontId="7" fillId="0" borderId="39" xfId="0" applyFont="1" applyBorder="1"/>
    <xf numFmtId="2" fontId="7" fillId="0" borderId="12" xfId="0" applyNumberFormat="1" applyFont="1" applyBorder="1" applyAlignment="1">
      <alignment horizontal="center"/>
    </xf>
    <xf numFmtId="164" fontId="7" fillId="0" borderId="12" xfId="0" applyNumberFormat="1" applyFont="1" applyBorder="1" applyAlignment="1">
      <alignment horizontal="center"/>
    </xf>
    <xf numFmtId="0" fontId="7" fillId="0" borderId="12" xfId="0" applyFont="1" applyBorder="1" applyAlignment="1">
      <alignment horizontal="center"/>
    </xf>
    <xf numFmtId="0" fontId="7" fillId="0" borderId="40" xfId="0" applyFont="1" applyBorder="1" applyAlignment="1">
      <alignment horizontal="center"/>
    </xf>
    <xf numFmtId="0" fontId="7" fillId="0" borderId="37" xfId="0" applyFont="1" applyBorder="1"/>
    <xf numFmtId="2" fontId="7" fillId="0" borderId="0" xfId="0" applyNumberFormat="1" applyFont="1" applyBorder="1" applyAlignment="1">
      <alignment horizontal="center"/>
    </xf>
    <xf numFmtId="164" fontId="7" fillId="0" borderId="0" xfId="0" applyNumberFormat="1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7" fillId="0" borderId="38" xfId="0" applyFont="1" applyBorder="1" applyAlignment="1">
      <alignment horizontal="center"/>
    </xf>
    <xf numFmtId="0" fontId="7" fillId="0" borderId="41" xfId="0" applyFont="1" applyBorder="1"/>
    <xf numFmtId="2" fontId="7" fillId="0" borderId="16" xfId="0" applyNumberFormat="1" applyFont="1" applyBorder="1" applyAlignment="1">
      <alignment horizontal="center"/>
    </xf>
    <xf numFmtId="164" fontId="7" fillId="0" borderId="16" xfId="0" applyNumberFormat="1" applyFont="1" applyBorder="1" applyAlignment="1">
      <alignment horizontal="center"/>
    </xf>
    <xf numFmtId="0" fontId="7" fillId="0" borderId="16" xfId="0" applyFont="1" applyBorder="1" applyAlignment="1">
      <alignment horizontal="center"/>
    </xf>
    <xf numFmtId="0" fontId="7" fillId="0" borderId="42" xfId="0" applyFont="1" applyBorder="1" applyAlignment="1">
      <alignment horizontal="center"/>
    </xf>
    <xf numFmtId="0" fontId="4" fillId="0" borderId="43" xfId="0" applyFont="1" applyBorder="1"/>
    <xf numFmtId="2" fontId="7" fillId="0" borderId="44" xfId="0" applyNumberFormat="1" applyFont="1" applyBorder="1" applyAlignment="1">
      <alignment horizontal="center"/>
    </xf>
    <xf numFmtId="164" fontId="7" fillId="0" borderId="44" xfId="0" applyNumberFormat="1" applyFont="1" applyBorder="1" applyAlignment="1">
      <alignment horizontal="center"/>
    </xf>
    <xf numFmtId="0" fontId="7" fillId="0" borderId="44" xfId="0" applyFont="1" applyBorder="1" applyAlignment="1">
      <alignment horizontal="center"/>
    </xf>
    <xf numFmtId="0" fontId="7" fillId="0" borderId="45" xfId="0" applyFont="1" applyBorder="1" applyAlignment="1">
      <alignment horizontal="center"/>
    </xf>
    <xf numFmtId="164" fontId="7" fillId="0" borderId="38" xfId="0" applyNumberFormat="1" applyFont="1" applyBorder="1" applyAlignment="1">
      <alignment horizontal="center"/>
    </xf>
    <xf numFmtId="164" fontId="7" fillId="0" borderId="46" xfId="0" applyNumberFormat="1" applyFont="1" applyBorder="1" applyAlignment="1">
      <alignment horizontal="center"/>
    </xf>
    <xf numFmtId="0" fontId="7" fillId="0" borderId="34" xfId="0" applyFont="1" applyBorder="1"/>
    <xf numFmtId="166" fontId="0" fillId="0" borderId="28" xfId="1" applyNumberFormat="1" applyFont="1" applyBorder="1" applyAlignment="1" applyProtection="1">
      <alignment horizontal="center"/>
      <protection locked="0"/>
    </xf>
    <xf numFmtId="43" fontId="0" fillId="0" borderId="30" xfId="1" applyFont="1" applyBorder="1" applyAlignment="1" applyProtection="1">
      <alignment horizontal="center"/>
      <protection locked="0"/>
    </xf>
    <xf numFmtId="165" fontId="0" fillId="0" borderId="0" xfId="1" applyNumberFormat="1" applyFont="1"/>
    <xf numFmtId="167" fontId="0" fillId="0" borderId="0" xfId="0" applyNumberFormat="1"/>
    <xf numFmtId="164" fontId="3" fillId="2" borderId="1" xfId="2" applyNumberFormat="1" applyAlignment="1">
      <alignment horizontal="center"/>
    </xf>
    <xf numFmtId="0" fontId="0" fillId="0" borderId="3" xfId="0" applyBorder="1" applyAlignment="1" applyProtection="1">
      <protection locked="0"/>
    </xf>
    <xf numFmtId="0" fontId="0" fillId="0" borderId="4" xfId="0" applyBorder="1" applyAlignment="1" applyProtection="1">
      <protection locked="0"/>
    </xf>
    <xf numFmtId="0" fontId="0" fillId="0" borderId="0" xfId="0" applyBorder="1" applyAlignment="1" applyProtection="1">
      <protection locked="0"/>
    </xf>
    <xf numFmtId="0" fontId="0" fillId="0" borderId="6" xfId="0" applyBorder="1" applyAlignment="1" applyProtection="1">
      <protection locked="0"/>
    </xf>
    <xf numFmtId="17" fontId="0" fillId="0" borderId="8" xfId="0" quotePrefix="1" applyNumberFormat="1" applyBorder="1" applyAlignment="1" applyProtection="1">
      <protection locked="0"/>
    </xf>
    <xf numFmtId="0" fontId="0" fillId="0" borderId="8" xfId="0" applyBorder="1" applyAlignment="1" applyProtection="1">
      <protection locked="0"/>
    </xf>
    <xf numFmtId="0" fontId="0" fillId="0" borderId="9" xfId="0" applyBorder="1" applyAlignment="1" applyProtection="1">
      <protection locked="0"/>
    </xf>
    <xf numFmtId="0" fontId="6" fillId="0" borderId="0" xfId="0" applyFont="1" applyBorder="1" applyAlignment="1" applyProtection="1">
      <alignment horizontal="center"/>
    </xf>
    <xf numFmtId="43" fontId="0" fillId="0" borderId="0" xfId="1" applyFont="1" applyBorder="1" applyAlignment="1" applyProtection="1">
      <alignment horizontal="center"/>
      <protection locked="0"/>
    </xf>
    <xf numFmtId="43" fontId="3" fillId="2" borderId="1" xfId="2" applyNumberFormat="1"/>
    <xf numFmtId="0" fontId="3" fillId="2" borderId="1" xfId="2" applyNumberFormat="1"/>
    <xf numFmtId="0" fontId="0" fillId="0" borderId="0" xfId="0" applyFill="1" applyBorder="1" applyAlignment="1">
      <alignment horizontal="right"/>
    </xf>
    <xf numFmtId="0" fontId="11" fillId="0" borderId="25" xfId="0" applyFont="1" applyFill="1" applyBorder="1" applyAlignment="1">
      <alignment horizontal="right"/>
    </xf>
    <xf numFmtId="0" fontId="13" fillId="0" borderId="25" xfId="0" applyFont="1" applyBorder="1"/>
    <xf numFmtId="0" fontId="14" fillId="0" borderId="25" xfId="0" applyFont="1" applyBorder="1" applyAlignment="1">
      <alignment horizontal="right"/>
    </xf>
    <xf numFmtId="0" fontId="11" fillId="0" borderId="25" xfId="0" applyFont="1" applyBorder="1" applyAlignment="1">
      <alignment horizontal="right"/>
    </xf>
    <xf numFmtId="0" fontId="13" fillId="0" borderId="0" xfId="0" applyFont="1" applyBorder="1"/>
    <xf numFmtId="0" fontId="13" fillId="0" borderId="0" xfId="0" applyFont="1"/>
    <xf numFmtId="0" fontId="11" fillId="0" borderId="18" xfId="0" applyFont="1" applyBorder="1" applyAlignment="1" applyProtection="1">
      <alignment horizontal="center"/>
    </xf>
    <xf numFmtId="0" fontId="11" fillId="0" borderId="0" xfId="0" applyFont="1" applyBorder="1" applyAlignment="1" applyProtection="1">
      <alignment horizontal="center"/>
    </xf>
    <xf numFmtId="0" fontId="11" fillId="0" borderId="19" xfId="0" applyFont="1" applyBorder="1" applyAlignment="1" applyProtection="1">
      <alignment horizontal="center"/>
    </xf>
    <xf numFmtId="0" fontId="11" fillId="0" borderId="20" xfId="0" applyFont="1" applyBorder="1" applyAlignment="1" applyProtection="1">
      <alignment horizontal="center"/>
    </xf>
    <xf numFmtId="0" fontId="11" fillId="0" borderId="26" xfId="0" applyNumberFormat="1" applyFont="1" applyFill="1" applyBorder="1"/>
    <xf numFmtId="0" fontId="13" fillId="0" borderId="26" xfId="0" applyFont="1" applyBorder="1"/>
    <xf numFmtId="0" fontId="14" fillId="0" borderId="26" xfId="0" applyNumberFormat="1" applyFont="1" applyFill="1" applyBorder="1"/>
    <xf numFmtId="0" fontId="14" fillId="0" borderId="0" xfId="0" applyNumberFormat="1" applyFont="1" applyFill="1"/>
    <xf numFmtId="0" fontId="11" fillId="0" borderId="0" xfId="0" applyNumberFormat="1" applyFont="1" applyFill="1"/>
    <xf numFmtId="0" fontId="14" fillId="0" borderId="26" xfId="0" applyNumberFormat="1" applyFont="1" applyBorder="1"/>
    <xf numFmtId="43" fontId="2" fillId="0" borderId="0" xfId="1" applyNumberFormat="1" applyFont="1"/>
    <xf numFmtId="168" fontId="3" fillId="2" borderId="1" xfId="1" applyNumberFormat="1" applyFont="1" applyFill="1" applyBorder="1"/>
    <xf numFmtId="0" fontId="0" fillId="0" borderId="0" xfId="0" applyNumberFormat="1" applyFill="1" applyBorder="1"/>
    <xf numFmtId="43" fontId="0" fillId="0" borderId="29" xfId="1" applyNumberFormat="1" applyFont="1" applyBorder="1" applyAlignment="1" applyProtection="1">
      <alignment horizontal="center"/>
      <protection locked="0"/>
    </xf>
    <xf numFmtId="164" fontId="3" fillId="2" borderId="1" xfId="2" applyNumberFormat="1"/>
    <xf numFmtId="0" fontId="0" fillId="0" borderId="5" xfId="0" applyBorder="1"/>
    <xf numFmtId="0" fontId="0" fillId="0" borderId="6" xfId="0" applyBorder="1"/>
    <xf numFmtId="0" fontId="4" fillId="0" borderId="0" xfId="0" applyFont="1" applyBorder="1" applyAlignment="1">
      <alignment horizontal="right"/>
    </xf>
    <xf numFmtId="0" fontId="10" fillId="0" borderId="5" xfId="0" applyFont="1" applyFill="1" applyBorder="1" applyAlignment="1">
      <alignment horizontal="left"/>
    </xf>
    <xf numFmtId="0" fontId="7" fillId="0" borderId="5" xfId="0" applyFont="1" applyBorder="1"/>
    <xf numFmtId="0" fontId="7" fillId="0" borderId="7" xfId="0" applyFont="1" applyBorder="1"/>
    <xf numFmtId="0" fontId="7" fillId="0" borderId="8" xfId="0" applyFont="1" applyBorder="1"/>
    <xf numFmtId="0" fontId="0" fillId="0" borderId="8" xfId="0" applyBorder="1"/>
    <xf numFmtId="0" fontId="0" fillId="0" borderId="9" xfId="0" applyBorder="1"/>
    <xf numFmtId="0" fontId="1" fillId="0" borderId="26" xfId="0" applyFont="1" applyBorder="1"/>
    <xf numFmtId="169" fontId="0" fillId="0" borderId="0" xfId="1" applyNumberFormat="1" applyFont="1"/>
    <xf numFmtId="0" fontId="0" fillId="0" borderId="0" xfId="0" applyAlignment="1">
      <alignment horizontal="center"/>
    </xf>
    <xf numFmtId="43" fontId="2" fillId="3" borderId="47" xfId="1" applyFont="1" applyFill="1" applyBorder="1"/>
    <xf numFmtId="43" fontId="0" fillId="0" borderId="0" xfId="0" applyNumberFormat="1"/>
    <xf numFmtId="168" fontId="0" fillId="0" borderId="0" xfId="1" applyNumberFormat="1" applyFont="1" applyBorder="1"/>
    <xf numFmtId="0" fontId="2" fillId="0" borderId="0" xfId="0" applyFont="1"/>
    <xf numFmtId="0" fontId="2" fillId="0" borderId="0" xfId="0" applyFont="1" applyFill="1" applyBorder="1" applyAlignment="1">
      <alignment horizontal="right"/>
    </xf>
    <xf numFmtId="168" fontId="0" fillId="0" borderId="0" xfId="0" applyNumberFormat="1" applyAlignment="1">
      <alignment wrapText="1"/>
    </xf>
    <xf numFmtId="0" fontId="7" fillId="0" borderId="0" xfId="0" applyFont="1" applyBorder="1" applyAlignment="1">
      <alignment horizontal="center" wrapText="1"/>
    </xf>
    <xf numFmtId="164" fontId="7" fillId="0" borderId="38" xfId="0" applyNumberFormat="1" applyFont="1" applyBorder="1" applyAlignment="1">
      <alignment horizontal="center" wrapText="1"/>
    </xf>
    <xf numFmtId="0" fontId="0" fillId="0" borderId="0" xfId="0" applyBorder="1" applyAlignment="1">
      <alignment horizontal="center"/>
    </xf>
    <xf numFmtId="0" fontId="7" fillId="0" borderId="37" xfId="0" applyFont="1" applyBorder="1" applyAlignment="1">
      <alignment wrapText="1"/>
    </xf>
    <xf numFmtId="164" fontId="7" fillId="0" borderId="0" xfId="0" applyNumberFormat="1" applyFont="1" applyBorder="1" applyAlignment="1">
      <alignment horizontal="center" wrapText="1"/>
    </xf>
    <xf numFmtId="0" fontId="17" fillId="0" borderId="5" xfId="3" applyFont="1" applyFill="1" applyBorder="1" applyAlignment="1">
      <alignment horizontal="center"/>
    </xf>
    <xf numFmtId="43" fontId="3" fillId="2" borderId="1" xfId="1" applyFont="1" applyFill="1" applyBorder="1"/>
    <xf numFmtId="0" fontId="17" fillId="0" borderId="0" xfId="3" applyFont="1" applyFill="1" applyBorder="1" applyAlignment="1">
      <alignment horizontal="center"/>
    </xf>
    <xf numFmtId="43" fontId="0" fillId="0" borderId="32" xfId="1" applyFont="1" applyBorder="1"/>
    <xf numFmtId="169" fontId="2" fillId="3" borderId="47" xfId="1" applyNumberFormat="1" applyFont="1" applyFill="1" applyBorder="1"/>
    <xf numFmtId="0" fontId="36" fillId="0" borderId="0" xfId="0" applyFont="1" applyAlignment="1">
      <alignment vertical="center"/>
    </xf>
    <xf numFmtId="0" fontId="17" fillId="0" borderId="6" xfId="3" applyFont="1" applyFill="1" applyBorder="1" applyAlignment="1">
      <alignment horizontal="center"/>
    </xf>
    <xf numFmtId="0" fontId="0" fillId="0" borderId="0" xfId="0"/>
    <xf numFmtId="0" fontId="0" fillId="0" borderId="0" xfId="0" applyAlignment="1">
      <alignment wrapText="1"/>
    </xf>
    <xf numFmtId="43" fontId="35" fillId="16" borderId="0" xfId="26" applyNumberFormat="1"/>
    <xf numFmtId="0" fontId="0" fillId="0" borderId="0" xfId="0" applyBorder="1"/>
    <xf numFmtId="0" fontId="37" fillId="0" borderId="26" xfId="0" applyFont="1" applyBorder="1"/>
    <xf numFmtId="0" fontId="38" fillId="0" borderId="26" xfId="0" applyFont="1" applyBorder="1"/>
    <xf numFmtId="170" fontId="0" fillId="0" borderId="0" xfId="0" applyNumberFormat="1" applyAlignment="1">
      <alignment horizontal="center"/>
    </xf>
    <xf numFmtId="170" fontId="40" fillId="0" borderId="0" xfId="0" applyNumberFormat="1" applyFont="1" applyAlignment="1">
      <alignment horizontal="right"/>
    </xf>
    <xf numFmtId="170" fontId="39" fillId="0" borderId="0" xfId="0" applyNumberFormat="1" applyFont="1" applyBorder="1" applyAlignment="1">
      <alignment horizontal="right"/>
    </xf>
    <xf numFmtId="0" fontId="0" fillId="0" borderId="0" xfId="0" applyNumberFormat="1" applyFill="1" applyBorder="1" applyAlignment="1">
      <alignment horizontal="right"/>
    </xf>
    <xf numFmtId="171" fontId="3" fillId="2" borderId="1" xfId="2" applyNumberFormat="1"/>
    <xf numFmtId="169" fontId="0" fillId="0" borderId="22" xfId="0" applyNumberFormat="1" applyBorder="1"/>
    <xf numFmtId="171" fontId="3" fillId="0" borderId="0" xfId="2" applyNumberFormat="1" applyFill="1" applyBorder="1"/>
    <xf numFmtId="168" fontId="3" fillId="2" borderId="1" xfId="2" applyNumberFormat="1"/>
    <xf numFmtId="172" fontId="11" fillId="0" borderId="0" xfId="1" applyNumberFormat="1" applyFont="1" applyBorder="1"/>
    <xf numFmtId="172" fontId="37" fillId="0" borderId="0" xfId="1" applyNumberFormat="1" applyFont="1" applyBorder="1"/>
    <xf numFmtId="2" fontId="37" fillId="0" borderId="0" xfId="1" applyNumberFormat="1" applyFont="1"/>
    <xf numFmtId="1" fontId="37" fillId="0" borderId="0" xfId="1" applyNumberFormat="1" applyFont="1" applyBorder="1"/>
    <xf numFmtId="1" fontId="11" fillId="0" borderId="0" xfId="0" applyNumberFormat="1" applyFont="1" applyBorder="1"/>
    <xf numFmtId="2" fontId="41" fillId="0" borderId="0" xfId="1" applyNumberFormat="1" applyFont="1"/>
    <xf numFmtId="2" fontId="42" fillId="0" borderId="0" xfId="1" applyNumberFormat="1" applyFont="1"/>
    <xf numFmtId="3" fontId="11" fillId="0" borderId="0" xfId="0" applyNumberFormat="1" applyFont="1" applyBorder="1"/>
    <xf numFmtId="2" fontId="0" fillId="0" borderId="22" xfId="0" applyNumberFormat="1" applyBorder="1"/>
    <xf numFmtId="2" fontId="0" fillId="0" borderId="23" xfId="0" applyNumberFormat="1" applyBorder="1"/>
    <xf numFmtId="0" fontId="43" fillId="0" borderId="26" xfId="0" applyFont="1" applyBorder="1"/>
    <xf numFmtId="0" fontId="13" fillId="0" borderId="0" xfId="0" applyFont="1" applyAlignment="1">
      <alignment horizontal="right"/>
    </xf>
    <xf numFmtId="168" fontId="44" fillId="0" borderId="1" xfId="2" applyNumberFormat="1" applyFont="1" applyFill="1"/>
    <xf numFmtId="0" fontId="0" fillId="0" borderId="0" xfId="0" applyFill="1" applyBorder="1"/>
    <xf numFmtId="0" fontId="4" fillId="0" borderId="11" xfId="0" applyFont="1" applyBorder="1" applyAlignment="1">
      <alignment horizontal="left"/>
    </xf>
    <xf numFmtId="0" fontId="4" fillId="0" borderId="12" xfId="0" applyFont="1" applyBorder="1" applyAlignment="1">
      <alignment horizontal="center"/>
    </xf>
    <xf numFmtId="0" fontId="0" fillId="0" borderId="12" xfId="0" applyBorder="1"/>
    <xf numFmtId="0" fontId="0" fillId="0" borderId="19" xfId="0" applyBorder="1"/>
    <xf numFmtId="0" fontId="0" fillId="0" borderId="18" xfId="0" applyBorder="1"/>
    <xf numFmtId="0" fontId="0" fillId="0" borderId="55" xfId="0" applyBorder="1"/>
    <xf numFmtId="0" fontId="0" fillId="0" borderId="18" xfId="0" applyFill="1" applyBorder="1"/>
    <xf numFmtId="0" fontId="0" fillId="0" borderId="14" xfId="0" applyFill="1" applyBorder="1"/>
    <xf numFmtId="0" fontId="4" fillId="0" borderId="16" xfId="0" applyFont="1" applyBorder="1" applyAlignment="1">
      <alignment horizontal="center"/>
    </xf>
    <xf numFmtId="0" fontId="0" fillId="0" borderId="24" xfId="0" applyBorder="1"/>
    <xf numFmtId="0" fontId="2" fillId="0" borderId="0" xfId="0" applyFont="1" applyBorder="1"/>
    <xf numFmtId="43" fontId="43" fillId="0" borderId="0" xfId="1" applyFont="1"/>
    <xf numFmtId="173" fontId="16" fillId="0" borderId="0" xfId="0" applyNumberFormat="1" applyFont="1"/>
    <xf numFmtId="0" fontId="18" fillId="0" borderId="5" xfId="0" applyFont="1" applyBorder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167" fontId="2" fillId="3" borderId="47" xfId="3" applyNumberFormat="1" applyFont="1" applyBorder="1"/>
    <xf numFmtId="0" fontId="45" fillId="0" borderId="0" xfId="0" applyFont="1"/>
    <xf numFmtId="0" fontId="17" fillId="3" borderId="56" xfId="3" applyFont="1" applyBorder="1" applyAlignment="1">
      <alignment horizontal="center"/>
    </xf>
    <xf numFmtId="0" fontId="17" fillId="3" borderId="57" xfId="3" applyFont="1" applyBorder="1" applyAlignment="1">
      <alignment horizontal="center"/>
    </xf>
    <xf numFmtId="0" fontId="17" fillId="3" borderId="58" xfId="3" applyFont="1" applyBorder="1" applyAlignment="1">
      <alignment horizontal="center"/>
    </xf>
    <xf numFmtId="0" fontId="18" fillId="0" borderId="5" xfId="0" applyFont="1" applyBorder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0" fontId="2" fillId="33" borderId="0" xfId="0" applyFont="1" applyFill="1" applyAlignment="1">
      <alignment horizontal="center"/>
    </xf>
    <xf numFmtId="0" fontId="0" fillId="0" borderId="0" xfId="0" applyAlignment="1">
      <alignment horizontal="left" wrapText="1"/>
    </xf>
  </cellXfs>
  <cellStyles count="43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10" builtinId="27" customBuiltin="1"/>
    <cellStyle name="Calculation" xfId="13" builtinId="22" customBuiltin="1"/>
    <cellStyle name="Check Cell" xfId="15" builtinId="23" customBuiltin="1"/>
    <cellStyle name="Comma" xfId="1" builtinId="3"/>
    <cellStyle name="Explanatory Text" xfId="17" builtinId="53" customBuiltin="1"/>
    <cellStyle name="Good" xfId="9" builtinId="26" customBuiltin="1"/>
    <cellStyle name="Heading 1" xfId="5" builtinId="16" customBuiltin="1"/>
    <cellStyle name="Heading 2" xfId="6" builtinId="17" customBuiltin="1"/>
    <cellStyle name="Heading 3" xfId="7" builtinId="18" customBuiltin="1"/>
    <cellStyle name="Heading 4" xfId="8" builtinId="19" customBuiltin="1"/>
    <cellStyle name="Input" xfId="2" builtinId="20" customBuiltin="1"/>
    <cellStyle name="Linked Cell" xfId="14" builtinId="24" customBuiltin="1"/>
    <cellStyle name="Neutral" xfId="11" builtinId="28" customBuiltin="1"/>
    <cellStyle name="Normal" xfId="0" builtinId="0"/>
    <cellStyle name="Note" xfId="3" builtinId="10" customBuiltin="1"/>
    <cellStyle name="Output" xfId="12" builtinId="21" customBuiltin="1"/>
    <cellStyle name="Title" xfId="4" builtinId="15" customBuiltin="1"/>
    <cellStyle name="Total" xfId="18" builtinId="25" customBuiltin="1"/>
    <cellStyle name="Warning Text" xfId="16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emf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png"/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327773</xdr:colOff>
      <xdr:row>20</xdr:row>
      <xdr:rowOff>119343</xdr:rowOff>
    </xdr:from>
    <xdr:to>
      <xdr:col>16</xdr:col>
      <xdr:colOff>242048</xdr:colOff>
      <xdr:row>20</xdr:row>
      <xdr:rowOff>119343</xdr:rowOff>
    </xdr:to>
    <xdr:sp macro="" textlink="">
      <xdr:nvSpPr>
        <xdr:cNvPr id="7" name="Line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>
          <a:spLocks noChangeShapeType="1"/>
        </xdr:cNvSpPr>
      </xdr:nvSpPr>
      <xdr:spPr bwMode="auto">
        <a:xfrm flipH="1">
          <a:off x="10614773" y="4579284"/>
          <a:ext cx="553010" cy="0"/>
        </a:xfrm>
        <a:prstGeom prst="line">
          <a:avLst/>
        </a:prstGeom>
        <a:noFill/>
        <a:ln w="57150">
          <a:solidFill>
            <a:schemeClr val="accent2"/>
          </a:solidFill>
          <a:round/>
          <a:headEnd type="triangle" w="med" len="med"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289673</xdr:colOff>
      <xdr:row>20</xdr:row>
      <xdr:rowOff>119343</xdr:rowOff>
    </xdr:from>
    <xdr:to>
      <xdr:col>13</xdr:col>
      <xdr:colOff>251573</xdr:colOff>
      <xdr:row>20</xdr:row>
      <xdr:rowOff>119343</xdr:rowOff>
    </xdr:to>
    <xdr:sp macro="" textlink="">
      <xdr:nvSpPr>
        <xdr:cNvPr id="8" name="Line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>
          <a:spLocks noChangeShapeType="1"/>
        </xdr:cNvSpPr>
      </xdr:nvSpPr>
      <xdr:spPr bwMode="auto">
        <a:xfrm flipH="1">
          <a:off x="8335497" y="4579284"/>
          <a:ext cx="567017" cy="0"/>
        </a:xfrm>
        <a:prstGeom prst="line">
          <a:avLst/>
        </a:prstGeom>
        <a:noFill/>
        <a:ln w="57150">
          <a:solidFill>
            <a:schemeClr val="accent2"/>
          </a:solidFill>
          <a:round/>
          <a:headEnd type="triangle" w="med" len="med"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373717</xdr:colOff>
      <xdr:row>12</xdr:row>
      <xdr:rowOff>61632</xdr:rowOff>
    </xdr:from>
    <xdr:to>
      <xdr:col>14</xdr:col>
      <xdr:colOff>373717</xdr:colOff>
      <xdr:row>15</xdr:row>
      <xdr:rowOff>33057</xdr:rowOff>
    </xdr:to>
    <xdr:sp macro="" textlink="">
      <xdr:nvSpPr>
        <xdr:cNvPr id="9" name="Line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>
          <a:spLocks noChangeShapeType="1"/>
        </xdr:cNvSpPr>
      </xdr:nvSpPr>
      <xdr:spPr bwMode="auto">
        <a:xfrm flipV="1">
          <a:off x="10907246" y="2437279"/>
          <a:ext cx="0" cy="587749"/>
        </a:xfrm>
        <a:prstGeom prst="line">
          <a:avLst/>
        </a:prstGeom>
        <a:noFill/>
        <a:ln w="57150">
          <a:solidFill>
            <a:schemeClr val="accent2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863415</xdr:colOff>
      <xdr:row>12</xdr:row>
      <xdr:rowOff>63313</xdr:rowOff>
    </xdr:from>
    <xdr:to>
      <xdr:col>17</xdr:col>
      <xdr:colOff>863415</xdr:colOff>
      <xdr:row>15</xdr:row>
      <xdr:rowOff>53788</xdr:rowOff>
    </xdr:to>
    <xdr:sp macro="" textlink="">
      <xdr:nvSpPr>
        <xdr:cNvPr id="10" name="Line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>
          <a:spLocks noChangeShapeType="1"/>
        </xdr:cNvSpPr>
      </xdr:nvSpPr>
      <xdr:spPr bwMode="auto">
        <a:xfrm flipV="1">
          <a:off x="13133856" y="2438960"/>
          <a:ext cx="0" cy="606799"/>
        </a:xfrm>
        <a:prstGeom prst="line">
          <a:avLst/>
        </a:prstGeom>
        <a:noFill/>
        <a:ln w="57150">
          <a:solidFill>
            <a:schemeClr val="accent2"/>
          </a:solidFill>
          <a:round/>
          <a:headEnd type="triangle" w="med" len="med"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360830</xdr:colOff>
      <xdr:row>12</xdr:row>
      <xdr:rowOff>52107</xdr:rowOff>
    </xdr:from>
    <xdr:to>
      <xdr:col>11</xdr:col>
      <xdr:colOff>360830</xdr:colOff>
      <xdr:row>15</xdr:row>
      <xdr:rowOff>42582</xdr:rowOff>
    </xdr:to>
    <xdr:sp macro="" textlink="">
      <xdr:nvSpPr>
        <xdr:cNvPr id="11" name="Line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>
          <a:spLocks noChangeShapeType="1"/>
        </xdr:cNvSpPr>
      </xdr:nvSpPr>
      <xdr:spPr bwMode="auto">
        <a:xfrm>
          <a:off x="8574742" y="2427754"/>
          <a:ext cx="0" cy="606799"/>
        </a:xfrm>
        <a:prstGeom prst="line">
          <a:avLst/>
        </a:prstGeom>
        <a:noFill/>
        <a:ln w="57150">
          <a:solidFill>
            <a:schemeClr val="accent2"/>
          </a:solidFill>
          <a:round/>
          <a:headEnd type="triangle" w="med" len="med"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300878</xdr:colOff>
      <xdr:row>26</xdr:row>
      <xdr:rowOff>85725</xdr:rowOff>
    </xdr:from>
    <xdr:to>
      <xdr:col>13</xdr:col>
      <xdr:colOff>262778</xdr:colOff>
      <xdr:row>26</xdr:row>
      <xdr:rowOff>85725</xdr:rowOff>
    </xdr:to>
    <xdr:sp macro="" textlink="">
      <xdr:nvSpPr>
        <xdr:cNvPr id="12" name="Line 7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>
          <a:spLocks noChangeShapeType="1"/>
        </xdr:cNvSpPr>
      </xdr:nvSpPr>
      <xdr:spPr bwMode="auto">
        <a:xfrm flipH="1">
          <a:off x="8436349" y="5498166"/>
          <a:ext cx="567017" cy="0"/>
        </a:xfrm>
        <a:prstGeom prst="line">
          <a:avLst/>
        </a:prstGeom>
        <a:noFill/>
        <a:ln w="57150">
          <a:solidFill>
            <a:schemeClr val="accent1"/>
          </a:solidFill>
          <a:round/>
          <a:headEnd type="none" w="med" len="med"/>
          <a:tailEnd type="arrow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15</xdr:col>
      <xdr:colOff>323290</xdr:colOff>
      <xdr:row>26</xdr:row>
      <xdr:rowOff>96931</xdr:rowOff>
    </xdr:from>
    <xdr:to>
      <xdr:col>16</xdr:col>
      <xdr:colOff>285191</xdr:colOff>
      <xdr:row>26</xdr:row>
      <xdr:rowOff>96931</xdr:rowOff>
    </xdr:to>
    <xdr:sp macro="" textlink="">
      <xdr:nvSpPr>
        <xdr:cNvPr id="13" name="Line 7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>
          <a:spLocks noChangeShapeType="1"/>
        </xdr:cNvSpPr>
      </xdr:nvSpPr>
      <xdr:spPr bwMode="auto">
        <a:xfrm flipH="1">
          <a:off x="10296525" y="5509372"/>
          <a:ext cx="600637" cy="0"/>
        </a:xfrm>
        <a:prstGeom prst="line">
          <a:avLst/>
        </a:prstGeom>
        <a:noFill/>
        <a:ln w="57150">
          <a:solidFill>
            <a:schemeClr val="accent1"/>
          </a:solidFill>
          <a:round/>
          <a:headEnd type="none" w="med" len="med"/>
          <a:tailEnd type="arrow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323291</xdr:colOff>
      <xdr:row>26</xdr:row>
      <xdr:rowOff>96931</xdr:rowOff>
    </xdr:from>
    <xdr:to>
      <xdr:col>20</xdr:col>
      <xdr:colOff>184338</xdr:colOff>
      <xdr:row>26</xdr:row>
      <xdr:rowOff>96931</xdr:rowOff>
    </xdr:to>
    <xdr:sp macro="" textlink="">
      <xdr:nvSpPr>
        <xdr:cNvPr id="14" name="Line 7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>
          <a:spLocks noChangeShapeType="1"/>
        </xdr:cNvSpPr>
      </xdr:nvSpPr>
      <xdr:spPr bwMode="auto">
        <a:xfrm flipH="1">
          <a:off x="12201526" y="5509372"/>
          <a:ext cx="567018" cy="0"/>
        </a:xfrm>
        <a:prstGeom prst="line">
          <a:avLst/>
        </a:prstGeom>
        <a:noFill/>
        <a:ln w="57150">
          <a:solidFill>
            <a:schemeClr val="accent1"/>
          </a:solidFill>
          <a:round/>
          <a:headEnd type="none" w="med" len="med"/>
          <a:tailEnd type="arrow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1</xdr:col>
      <xdr:colOff>22413</xdr:colOff>
      <xdr:row>12</xdr:row>
      <xdr:rowOff>72841</xdr:rowOff>
    </xdr:from>
    <xdr:to>
      <xdr:col>8</xdr:col>
      <xdr:colOff>521108</xdr:colOff>
      <xdr:row>31</xdr:row>
      <xdr:rowOff>25215</xdr:rowOff>
    </xdr:to>
    <xdr:pic>
      <xdr:nvPicPr>
        <xdr:cNvPr id="19" name="Picture 18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1270" y="2671805"/>
          <a:ext cx="6295338" cy="3966481"/>
        </a:xfrm>
        <a:prstGeom prst="rect">
          <a:avLst/>
        </a:prstGeom>
      </xdr:spPr>
    </xdr:pic>
    <xdr:clientData/>
  </xdr:twoCellAnchor>
  <xdr:twoCellAnchor>
    <xdr:from>
      <xdr:col>12</xdr:col>
      <xdr:colOff>268941</xdr:colOff>
      <xdr:row>18</xdr:row>
      <xdr:rowOff>22412</xdr:rowOff>
    </xdr:from>
    <xdr:to>
      <xdr:col>12</xdr:col>
      <xdr:colOff>504264</xdr:colOff>
      <xdr:row>19</xdr:row>
      <xdr:rowOff>11206</xdr:rowOff>
    </xdr:to>
    <xdr:sp macro="" textlink="">
      <xdr:nvSpPr>
        <xdr:cNvPr id="2" name="Sun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8314765" y="4022912"/>
          <a:ext cx="235323" cy="235323"/>
        </a:xfrm>
        <a:prstGeom prst="sun">
          <a:avLst/>
        </a:prstGeom>
        <a:solidFill>
          <a:schemeClr val="accent2"/>
        </a:solidFill>
        <a:ln>
          <a:solidFill>
            <a:schemeClr val="accent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15</xdr:col>
      <xdr:colOff>235324</xdr:colOff>
      <xdr:row>18</xdr:row>
      <xdr:rowOff>22412</xdr:rowOff>
    </xdr:from>
    <xdr:to>
      <xdr:col>15</xdr:col>
      <xdr:colOff>470647</xdr:colOff>
      <xdr:row>19</xdr:row>
      <xdr:rowOff>11206</xdr:rowOff>
    </xdr:to>
    <xdr:sp macro="" textlink="">
      <xdr:nvSpPr>
        <xdr:cNvPr id="18" name="Sun 17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/>
      </xdr:nvSpPr>
      <xdr:spPr>
        <a:xfrm>
          <a:off x="10522324" y="4022912"/>
          <a:ext cx="235323" cy="235323"/>
        </a:xfrm>
        <a:prstGeom prst="sun">
          <a:avLst/>
        </a:prstGeom>
        <a:solidFill>
          <a:schemeClr val="accent2"/>
        </a:solidFill>
        <a:ln>
          <a:solidFill>
            <a:schemeClr val="accent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18</xdr:col>
      <xdr:colOff>257736</xdr:colOff>
      <xdr:row>18</xdr:row>
      <xdr:rowOff>11206</xdr:rowOff>
    </xdr:from>
    <xdr:to>
      <xdr:col>18</xdr:col>
      <xdr:colOff>493059</xdr:colOff>
      <xdr:row>19</xdr:row>
      <xdr:rowOff>0</xdr:rowOff>
    </xdr:to>
    <xdr:sp macro="" textlink="">
      <xdr:nvSpPr>
        <xdr:cNvPr id="21" name="Sun 2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/>
      </xdr:nvSpPr>
      <xdr:spPr>
        <a:xfrm>
          <a:off x="12651442" y="4011706"/>
          <a:ext cx="235323" cy="235323"/>
        </a:xfrm>
        <a:prstGeom prst="sun">
          <a:avLst/>
        </a:prstGeom>
        <a:solidFill>
          <a:schemeClr val="accent2"/>
        </a:solidFill>
        <a:ln>
          <a:solidFill>
            <a:schemeClr val="accent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9</xdr:col>
      <xdr:colOff>196103</xdr:colOff>
      <xdr:row>26</xdr:row>
      <xdr:rowOff>104775</xdr:rowOff>
    </xdr:from>
    <xdr:to>
      <xdr:col>10</xdr:col>
      <xdr:colOff>396128</xdr:colOff>
      <xdr:row>26</xdr:row>
      <xdr:rowOff>104775</xdr:rowOff>
    </xdr:to>
    <xdr:sp macro="" textlink="">
      <xdr:nvSpPr>
        <xdr:cNvPr id="15" name="Line 7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>
          <a:spLocks noChangeShapeType="1"/>
        </xdr:cNvSpPr>
      </xdr:nvSpPr>
      <xdr:spPr bwMode="auto">
        <a:xfrm flipH="1">
          <a:off x="7035053" y="5276850"/>
          <a:ext cx="733425" cy="0"/>
        </a:xfrm>
        <a:prstGeom prst="line">
          <a:avLst/>
        </a:prstGeom>
        <a:noFill/>
        <a:ln w="57150">
          <a:solidFill>
            <a:schemeClr val="accent1"/>
          </a:solidFill>
          <a:round/>
          <a:headEnd type="none" w="med" len="med"/>
          <a:tailEnd type="arrow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407336</xdr:colOff>
      <xdr:row>12</xdr:row>
      <xdr:rowOff>95250</xdr:rowOff>
    </xdr:from>
    <xdr:to>
      <xdr:col>17</xdr:col>
      <xdr:colOff>407336</xdr:colOff>
      <xdr:row>15</xdr:row>
      <xdr:rowOff>66675</xdr:rowOff>
    </xdr:to>
    <xdr:sp macro="" textlink="">
      <xdr:nvSpPr>
        <xdr:cNvPr id="16" name="Line 8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>
          <a:spLocks noChangeShapeType="1"/>
        </xdr:cNvSpPr>
      </xdr:nvSpPr>
      <xdr:spPr bwMode="auto">
        <a:xfrm flipV="1">
          <a:off x="12677777" y="2672603"/>
          <a:ext cx="0" cy="576543"/>
        </a:xfrm>
        <a:prstGeom prst="line">
          <a:avLst/>
        </a:prstGeom>
        <a:noFill/>
        <a:ln w="57150">
          <a:solidFill>
            <a:schemeClr val="accent1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3</xdr:col>
      <xdr:colOff>380999</xdr:colOff>
      <xdr:row>30</xdr:row>
      <xdr:rowOff>155281</xdr:rowOff>
    </xdr:from>
    <xdr:to>
      <xdr:col>8</xdr:col>
      <xdr:colOff>510667</xdr:colOff>
      <xdr:row>53</xdr:row>
      <xdr:rowOff>186009</xdr:rowOff>
    </xdr:to>
    <xdr:pic>
      <xdr:nvPicPr>
        <xdr:cNvPr id="17" name="Picture 16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09106" y="6577852"/>
          <a:ext cx="4307061" cy="458912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20</xdr:col>
      <xdr:colOff>598715</xdr:colOff>
      <xdr:row>38</xdr:row>
      <xdr:rowOff>122465</xdr:rowOff>
    </xdr:from>
    <xdr:to>
      <xdr:col>27</xdr:col>
      <xdr:colOff>489858</xdr:colOff>
      <xdr:row>57</xdr:row>
      <xdr:rowOff>142149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5376072" y="8123465"/>
          <a:ext cx="6055179" cy="378886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152400</xdr:colOff>
      <xdr:row>2</xdr:row>
      <xdr:rowOff>95250</xdr:rowOff>
    </xdr:from>
    <xdr:to>
      <xdr:col>11</xdr:col>
      <xdr:colOff>153336</xdr:colOff>
      <xdr:row>12</xdr:row>
      <xdr:rowOff>253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EF59E61-D346-4477-8BEC-25F812CD7E8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2400" y="914400"/>
          <a:ext cx="6706536" cy="1810003"/>
        </a:xfrm>
        <a:prstGeom prst="rect">
          <a:avLst/>
        </a:prstGeom>
      </xdr:spPr>
    </xdr:pic>
    <xdr:clientData/>
  </xdr:twoCellAnchor>
  <xdr:twoCellAnchor editAs="oneCell">
    <xdr:from>
      <xdr:col>12</xdr:col>
      <xdr:colOff>66675</xdr:colOff>
      <xdr:row>2</xdr:row>
      <xdr:rowOff>76200</xdr:rowOff>
    </xdr:from>
    <xdr:to>
      <xdr:col>20</xdr:col>
      <xdr:colOff>162619</xdr:colOff>
      <xdr:row>30</xdr:row>
      <xdr:rowOff>143629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C2FA15DB-2B35-43BC-9318-D2E39D920BD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381875" y="895350"/>
          <a:ext cx="4972744" cy="540142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AB91"/>
  <sheetViews>
    <sheetView showGridLines="0" zoomScale="85" zoomScaleNormal="85" workbookViewId="0">
      <selection activeCell="H4" sqref="H4"/>
    </sheetView>
  </sheetViews>
  <sheetFormatPr defaultRowHeight="15"/>
  <cols>
    <col min="1" max="1" width="1.5703125" customWidth="1"/>
    <col min="2" max="2" width="13" customWidth="1"/>
    <col min="3" max="3" width="11.140625" customWidth="1"/>
    <col min="4" max="4" width="13.85546875" customWidth="1"/>
    <col min="5" max="5" width="12" customWidth="1"/>
    <col min="6" max="6" width="7.7109375" bestFit="1" customWidth="1"/>
    <col min="7" max="8" width="14.42578125" customWidth="1"/>
    <col min="9" max="9" width="8.7109375" style="150" customWidth="1"/>
    <col min="10" max="10" width="8" customWidth="1"/>
    <col min="11" max="11" width="12.7109375" customWidth="1"/>
    <col min="12" max="12" width="13.140625" bestFit="1" customWidth="1"/>
    <col min="13" max="13" width="11.5703125" customWidth="1"/>
    <col min="14" max="14" width="12.42578125" customWidth="1"/>
    <col min="15" max="15" width="15.42578125" bestFit="1" customWidth="1"/>
    <col min="16" max="16" width="12" bestFit="1" customWidth="1"/>
    <col min="17" max="17" width="11.5703125" customWidth="1"/>
    <col min="18" max="18" width="15.7109375" bestFit="1" customWidth="1"/>
    <col min="19" max="19" width="10" bestFit="1" customWidth="1"/>
    <col min="20" max="20" width="1.5703125" customWidth="1"/>
    <col min="21" max="21" width="9.140625" customWidth="1"/>
    <col min="22" max="22" width="22" customWidth="1"/>
    <col min="23" max="23" width="12.85546875" bestFit="1" customWidth="1"/>
    <col min="24" max="24" width="10.85546875" bestFit="1" customWidth="1"/>
    <col min="25" max="25" width="14.28515625" bestFit="1" customWidth="1"/>
    <col min="26" max="26" width="13.42578125" customWidth="1"/>
    <col min="27" max="27" width="9.7109375" bestFit="1" customWidth="1"/>
    <col min="28" max="28" width="15.7109375" bestFit="1" customWidth="1"/>
    <col min="256" max="256" width="1.5703125" customWidth="1"/>
    <col min="257" max="257" width="21" customWidth="1"/>
    <col min="258" max="258" width="13" customWidth="1"/>
    <col min="259" max="259" width="11.140625" customWidth="1"/>
    <col min="260" max="260" width="13.85546875" customWidth="1"/>
    <col min="261" max="261" width="12" customWidth="1"/>
    <col min="262" max="262" width="9.140625" customWidth="1"/>
    <col min="263" max="263" width="14.42578125" customWidth="1"/>
    <col min="264" max="266" width="1.28515625" customWidth="1"/>
    <col min="267" max="267" width="9.140625" customWidth="1"/>
    <col min="268" max="268" width="9.42578125" customWidth="1"/>
    <col min="269" max="270" width="9.140625" customWidth="1"/>
    <col min="271" max="271" width="9.42578125" customWidth="1"/>
    <col min="272" max="273" width="9.140625" customWidth="1"/>
    <col min="274" max="274" width="9.42578125" customWidth="1"/>
    <col min="275" max="275" width="9.140625" customWidth="1"/>
    <col min="276" max="276" width="1.5703125" customWidth="1"/>
    <col min="277" max="283" width="9.140625" customWidth="1"/>
    <col min="512" max="512" width="1.5703125" customWidth="1"/>
    <col min="513" max="513" width="21" customWidth="1"/>
    <col min="514" max="514" width="13" customWidth="1"/>
    <col min="515" max="515" width="11.140625" customWidth="1"/>
    <col min="516" max="516" width="13.85546875" customWidth="1"/>
    <col min="517" max="517" width="12" customWidth="1"/>
    <col min="518" max="518" width="9.140625" customWidth="1"/>
    <col min="519" max="519" width="14.42578125" customWidth="1"/>
    <col min="520" max="522" width="1.28515625" customWidth="1"/>
    <col min="523" max="523" width="9.140625" customWidth="1"/>
    <col min="524" max="524" width="9.42578125" customWidth="1"/>
    <col min="525" max="526" width="9.140625" customWidth="1"/>
    <col min="527" max="527" width="9.42578125" customWidth="1"/>
    <col min="528" max="529" width="9.140625" customWidth="1"/>
    <col min="530" max="530" width="9.42578125" customWidth="1"/>
    <col min="531" max="531" width="9.140625" customWidth="1"/>
    <col min="532" max="532" width="1.5703125" customWidth="1"/>
    <col min="533" max="539" width="9.140625" customWidth="1"/>
    <col min="768" max="768" width="1.5703125" customWidth="1"/>
    <col min="769" max="769" width="21" customWidth="1"/>
    <col min="770" max="770" width="13" customWidth="1"/>
    <col min="771" max="771" width="11.140625" customWidth="1"/>
    <col min="772" max="772" width="13.85546875" customWidth="1"/>
    <col min="773" max="773" width="12" customWidth="1"/>
    <col min="774" max="774" width="9.140625" customWidth="1"/>
    <col min="775" max="775" width="14.42578125" customWidth="1"/>
    <col min="776" max="778" width="1.28515625" customWidth="1"/>
    <col min="779" max="779" width="9.140625" customWidth="1"/>
    <col min="780" max="780" width="9.42578125" customWidth="1"/>
    <col min="781" max="782" width="9.140625" customWidth="1"/>
    <col min="783" max="783" width="9.42578125" customWidth="1"/>
    <col min="784" max="785" width="9.140625" customWidth="1"/>
    <col min="786" max="786" width="9.42578125" customWidth="1"/>
    <col min="787" max="787" width="9.140625" customWidth="1"/>
    <col min="788" max="788" width="1.5703125" customWidth="1"/>
    <col min="789" max="795" width="9.140625" customWidth="1"/>
    <col min="1024" max="1024" width="1.5703125" customWidth="1"/>
    <col min="1025" max="1025" width="21" customWidth="1"/>
    <col min="1026" max="1026" width="13" customWidth="1"/>
    <col min="1027" max="1027" width="11.140625" customWidth="1"/>
    <col min="1028" max="1028" width="13.85546875" customWidth="1"/>
    <col min="1029" max="1029" width="12" customWidth="1"/>
    <col min="1030" max="1030" width="9.140625" customWidth="1"/>
    <col min="1031" max="1031" width="14.42578125" customWidth="1"/>
    <col min="1032" max="1034" width="1.28515625" customWidth="1"/>
    <col min="1035" max="1035" width="9.140625" customWidth="1"/>
    <col min="1036" max="1036" width="9.42578125" customWidth="1"/>
    <col min="1037" max="1038" width="9.140625" customWidth="1"/>
    <col min="1039" max="1039" width="9.42578125" customWidth="1"/>
    <col min="1040" max="1041" width="9.140625" customWidth="1"/>
    <col min="1042" max="1042" width="9.42578125" customWidth="1"/>
    <col min="1043" max="1043" width="9.140625" customWidth="1"/>
    <col min="1044" max="1044" width="1.5703125" customWidth="1"/>
    <col min="1045" max="1051" width="9.140625" customWidth="1"/>
    <col min="1280" max="1280" width="1.5703125" customWidth="1"/>
    <col min="1281" max="1281" width="21" customWidth="1"/>
    <col min="1282" max="1282" width="13" customWidth="1"/>
    <col min="1283" max="1283" width="11.140625" customWidth="1"/>
    <col min="1284" max="1284" width="13.85546875" customWidth="1"/>
    <col min="1285" max="1285" width="12" customWidth="1"/>
    <col min="1286" max="1286" width="9.140625" customWidth="1"/>
    <col min="1287" max="1287" width="14.42578125" customWidth="1"/>
    <col min="1288" max="1290" width="1.28515625" customWidth="1"/>
    <col min="1291" max="1291" width="9.140625" customWidth="1"/>
    <col min="1292" max="1292" width="9.42578125" customWidth="1"/>
    <col min="1293" max="1294" width="9.140625" customWidth="1"/>
    <col min="1295" max="1295" width="9.42578125" customWidth="1"/>
    <col min="1296" max="1297" width="9.140625" customWidth="1"/>
    <col min="1298" max="1298" width="9.42578125" customWidth="1"/>
    <col min="1299" max="1299" width="9.140625" customWidth="1"/>
    <col min="1300" max="1300" width="1.5703125" customWidth="1"/>
    <col min="1301" max="1307" width="9.140625" customWidth="1"/>
    <col min="1536" max="1536" width="1.5703125" customWidth="1"/>
    <col min="1537" max="1537" width="21" customWidth="1"/>
    <col min="1538" max="1538" width="13" customWidth="1"/>
    <col min="1539" max="1539" width="11.140625" customWidth="1"/>
    <col min="1540" max="1540" width="13.85546875" customWidth="1"/>
    <col min="1541" max="1541" width="12" customWidth="1"/>
    <col min="1542" max="1542" width="9.140625" customWidth="1"/>
    <col min="1543" max="1543" width="14.42578125" customWidth="1"/>
    <col min="1544" max="1546" width="1.28515625" customWidth="1"/>
    <col min="1547" max="1547" width="9.140625" customWidth="1"/>
    <col min="1548" max="1548" width="9.42578125" customWidth="1"/>
    <col min="1549" max="1550" width="9.140625" customWidth="1"/>
    <col min="1551" max="1551" width="9.42578125" customWidth="1"/>
    <col min="1552" max="1553" width="9.140625" customWidth="1"/>
    <col min="1554" max="1554" width="9.42578125" customWidth="1"/>
    <col min="1555" max="1555" width="9.140625" customWidth="1"/>
    <col min="1556" max="1556" width="1.5703125" customWidth="1"/>
    <col min="1557" max="1563" width="9.140625" customWidth="1"/>
    <col min="1792" max="1792" width="1.5703125" customWidth="1"/>
    <col min="1793" max="1793" width="21" customWidth="1"/>
    <col min="1794" max="1794" width="13" customWidth="1"/>
    <col min="1795" max="1795" width="11.140625" customWidth="1"/>
    <col min="1796" max="1796" width="13.85546875" customWidth="1"/>
    <col min="1797" max="1797" width="12" customWidth="1"/>
    <col min="1798" max="1798" width="9.140625" customWidth="1"/>
    <col min="1799" max="1799" width="14.42578125" customWidth="1"/>
    <col min="1800" max="1802" width="1.28515625" customWidth="1"/>
    <col min="1803" max="1803" width="9.140625" customWidth="1"/>
    <col min="1804" max="1804" width="9.42578125" customWidth="1"/>
    <col min="1805" max="1806" width="9.140625" customWidth="1"/>
    <col min="1807" max="1807" width="9.42578125" customWidth="1"/>
    <col min="1808" max="1809" width="9.140625" customWidth="1"/>
    <col min="1810" max="1810" width="9.42578125" customWidth="1"/>
    <col min="1811" max="1811" width="9.140625" customWidth="1"/>
    <col min="1812" max="1812" width="1.5703125" customWidth="1"/>
    <col min="1813" max="1819" width="9.140625" customWidth="1"/>
    <col min="2048" max="2048" width="1.5703125" customWidth="1"/>
    <col min="2049" max="2049" width="21" customWidth="1"/>
    <col min="2050" max="2050" width="13" customWidth="1"/>
    <col min="2051" max="2051" width="11.140625" customWidth="1"/>
    <col min="2052" max="2052" width="13.85546875" customWidth="1"/>
    <col min="2053" max="2053" width="12" customWidth="1"/>
    <col min="2054" max="2054" width="9.140625" customWidth="1"/>
    <col min="2055" max="2055" width="14.42578125" customWidth="1"/>
    <col min="2056" max="2058" width="1.28515625" customWidth="1"/>
    <col min="2059" max="2059" width="9.140625" customWidth="1"/>
    <col min="2060" max="2060" width="9.42578125" customWidth="1"/>
    <col min="2061" max="2062" width="9.140625" customWidth="1"/>
    <col min="2063" max="2063" width="9.42578125" customWidth="1"/>
    <col min="2064" max="2065" width="9.140625" customWidth="1"/>
    <col min="2066" max="2066" width="9.42578125" customWidth="1"/>
    <col min="2067" max="2067" width="9.140625" customWidth="1"/>
    <col min="2068" max="2068" width="1.5703125" customWidth="1"/>
    <col min="2069" max="2075" width="9.140625" customWidth="1"/>
    <col min="2304" max="2304" width="1.5703125" customWidth="1"/>
    <col min="2305" max="2305" width="21" customWidth="1"/>
    <col min="2306" max="2306" width="13" customWidth="1"/>
    <col min="2307" max="2307" width="11.140625" customWidth="1"/>
    <col min="2308" max="2308" width="13.85546875" customWidth="1"/>
    <col min="2309" max="2309" width="12" customWidth="1"/>
    <col min="2310" max="2310" width="9.140625" customWidth="1"/>
    <col min="2311" max="2311" width="14.42578125" customWidth="1"/>
    <col min="2312" max="2314" width="1.28515625" customWidth="1"/>
    <col min="2315" max="2315" width="9.140625" customWidth="1"/>
    <col min="2316" max="2316" width="9.42578125" customWidth="1"/>
    <col min="2317" max="2318" width="9.140625" customWidth="1"/>
    <col min="2319" max="2319" width="9.42578125" customWidth="1"/>
    <col min="2320" max="2321" width="9.140625" customWidth="1"/>
    <col min="2322" max="2322" width="9.42578125" customWidth="1"/>
    <col min="2323" max="2323" width="9.140625" customWidth="1"/>
    <col min="2324" max="2324" width="1.5703125" customWidth="1"/>
    <col min="2325" max="2331" width="9.140625" customWidth="1"/>
    <col min="2560" max="2560" width="1.5703125" customWidth="1"/>
    <col min="2561" max="2561" width="21" customWidth="1"/>
    <col min="2562" max="2562" width="13" customWidth="1"/>
    <col min="2563" max="2563" width="11.140625" customWidth="1"/>
    <col min="2564" max="2564" width="13.85546875" customWidth="1"/>
    <col min="2565" max="2565" width="12" customWidth="1"/>
    <col min="2566" max="2566" width="9.140625" customWidth="1"/>
    <col min="2567" max="2567" width="14.42578125" customWidth="1"/>
    <col min="2568" max="2570" width="1.28515625" customWidth="1"/>
    <col min="2571" max="2571" width="9.140625" customWidth="1"/>
    <col min="2572" max="2572" width="9.42578125" customWidth="1"/>
    <col min="2573" max="2574" width="9.140625" customWidth="1"/>
    <col min="2575" max="2575" width="9.42578125" customWidth="1"/>
    <col min="2576" max="2577" width="9.140625" customWidth="1"/>
    <col min="2578" max="2578" width="9.42578125" customWidth="1"/>
    <col min="2579" max="2579" width="9.140625" customWidth="1"/>
    <col min="2580" max="2580" width="1.5703125" customWidth="1"/>
    <col min="2581" max="2587" width="9.140625" customWidth="1"/>
    <col min="2816" max="2816" width="1.5703125" customWidth="1"/>
    <col min="2817" max="2817" width="21" customWidth="1"/>
    <col min="2818" max="2818" width="13" customWidth="1"/>
    <col min="2819" max="2819" width="11.140625" customWidth="1"/>
    <col min="2820" max="2820" width="13.85546875" customWidth="1"/>
    <col min="2821" max="2821" width="12" customWidth="1"/>
    <col min="2822" max="2822" width="9.140625" customWidth="1"/>
    <col min="2823" max="2823" width="14.42578125" customWidth="1"/>
    <col min="2824" max="2826" width="1.28515625" customWidth="1"/>
    <col min="2827" max="2827" width="9.140625" customWidth="1"/>
    <col min="2828" max="2828" width="9.42578125" customWidth="1"/>
    <col min="2829" max="2830" width="9.140625" customWidth="1"/>
    <col min="2831" max="2831" width="9.42578125" customWidth="1"/>
    <col min="2832" max="2833" width="9.140625" customWidth="1"/>
    <col min="2834" max="2834" width="9.42578125" customWidth="1"/>
    <col min="2835" max="2835" width="9.140625" customWidth="1"/>
    <col min="2836" max="2836" width="1.5703125" customWidth="1"/>
    <col min="2837" max="2843" width="9.140625" customWidth="1"/>
    <col min="3072" max="3072" width="1.5703125" customWidth="1"/>
    <col min="3073" max="3073" width="21" customWidth="1"/>
    <col min="3074" max="3074" width="13" customWidth="1"/>
    <col min="3075" max="3075" width="11.140625" customWidth="1"/>
    <col min="3076" max="3076" width="13.85546875" customWidth="1"/>
    <col min="3077" max="3077" width="12" customWidth="1"/>
    <col min="3078" max="3078" width="9.140625" customWidth="1"/>
    <col min="3079" max="3079" width="14.42578125" customWidth="1"/>
    <col min="3080" max="3082" width="1.28515625" customWidth="1"/>
    <col min="3083" max="3083" width="9.140625" customWidth="1"/>
    <col min="3084" max="3084" width="9.42578125" customWidth="1"/>
    <col min="3085" max="3086" width="9.140625" customWidth="1"/>
    <col min="3087" max="3087" width="9.42578125" customWidth="1"/>
    <col min="3088" max="3089" width="9.140625" customWidth="1"/>
    <col min="3090" max="3090" width="9.42578125" customWidth="1"/>
    <col min="3091" max="3091" width="9.140625" customWidth="1"/>
    <col min="3092" max="3092" width="1.5703125" customWidth="1"/>
    <col min="3093" max="3099" width="9.140625" customWidth="1"/>
    <col min="3328" max="3328" width="1.5703125" customWidth="1"/>
    <col min="3329" max="3329" width="21" customWidth="1"/>
    <col min="3330" max="3330" width="13" customWidth="1"/>
    <col min="3331" max="3331" width="11.140625" customWidth="1"/>
    <col min="3332" max="3332" width="13.85546875" customWidth="1"/>
    <col min="3333" max="3333" width="12" customWidth="1"/>
    <col min="3334" max="3334" width="9.140625" customWidth="1"/>
    <col min="3335" max="3335" width="14.42578125" customWidth="1"/>
    <col min="3336" max="3338" width="1.28515625" customWidth="1"/>
    <col min="3339" max="3339" width="9.140625" customWidth="1"/>
    <col min="3340" max="3340" width="9.42578125" customWidth="1"/>
    <col min="3341" max="3342" width="9.140625" customWidth="1"/>
    <col min="3343" max="3343" width="9.42578125" customWidth="1"/>
    <col min="3344" max="3345" width="9.140625" customWidth="1"/>
    <col min="3346" max="3346" width="9.42578125" customWidth="1"/>
    <col min="3347" max="3347" width="9.140625" customWidth="1"/>
    <col min="3348" max="3348" width="1.5703125" customWidth="1"/>
    <col min="3349" max="3355" width="9.140625" customWidth="1"/>
    <col min="3584" max="3584" width="1.5703125" customWidth="1"/>
    <col min="3585" max="3585" width="21" customWidth="1"/>
    <col min="3586" max="3586" width="13" customWidth="1"/>
    <col min="3587" max="3587" width="11.140625" customWidth="1"/>
    <col min="3588" max="3588" width="13.85546875" customWidth="1"/>
    <col min="3589" max="3589" width="12" customWidth="1"/>
    <col min="3590" max="3590" width="9.140625" customWidth="1"/>
    <col min="3591" max="3591" width="14.42578125" customWidth="1"/>
    <col min="3592" max="3594" width="1.28515625" customWidth="1"/>
    <col min="3595" max="3595" width="9.140625" customWidth="1"/>
    <col min="3596" max="3596" width="9.42578125" customWidth="1"/>
    <col min="3597" max="3598" width="9.140625" customWidth="1"/>
    <col min="3599" max="3599" width="9.42578125" customWidth="1"/>
    <col min="3600" max="3601" width="9.140625" customWidth="1"/>
    <col min="3602" max="3602" width="9.42578125" customWidth="1"/>
    <col min="3603" max="3603" width="9.140625" customWidth="1"/>
    <col min="3604" max="3604" width="1.5703125" customWidth="1"/>
    <col min="3605" max="3611" width="9.140625" customWidth="1"/>
    <col min="3840" max="3840" width="1.5703125" customWidth="1"/>
    <col min="3841" max="3841" width="21" customWidth="1"/>
    <col min="3842" max="3842" width="13" customWidth="1"/>
    <col min="3843" max="3843" width="11.140625" customWidth="1"/>
    <col min="3844" max="3844" width="13.85546875" customWidth="1"/>
    <col min="3845" max="3845" width="12" customWidth="1"/>
    <col min="3846" max="3846" width="9.140625" customWidth="1"/>
    <col min="3847" max="3847" width="14.42578125" customWidth="1"/>
    <col min="3848" max="3850" width="1.28515625" customWidth="1"/>
    <col min="3851" max="3851" width="9.140625" customWidth="1"/>
    <col min="3852" max="3852" width="9.42578125" customWidth="1"/>
    <col min="3853" max="3854" width="9.140625" customWidth="1"/>
    <col min="3855" max="3855" width="9.42578125" customWidth="1"/>
    <col min="3856" max="3857" width="9.140625" customWidth="1"/>
    <col min="3858" max="3858" width="9.42578125" customWidth="1"/>
    <col min="3859" max="3859" width="9.140625" customWidth="1"/>
    <col min="3860" max="3860" width="1.5703125" customWidth="1"/>
    <col min="3861" max="3867" width="9.140625" customWidth="1"/>
    <col min="4096" max="4096" width="1.5703125" customWidth="1"/>
    <col min="4097" max="4097" width="21" customWidth="1"/>
    <col min="4098" max="4098" width="13" customWidth="1"/>
    <col min="4099" max="4099" width="11.140625" customWidth="1"/>
    <col min="4100" max="4100" width="13.85546875" customWidth="1"/>
    <col min="4101" max="4101" width="12" customWidth="1"/>
    <col min="4102" max="4102" width="9.140625" customWidth="1"/>
    <col min="4103" max="4103" width="14.42578125" customWidth="1"/>
    <col min="4104" max="4106" width="1.28515625" customWidth="1"/>
    <col min="4107" max="4107" width="9.140625" customWidth="1"/>
    <col min="4108" max="4108" width="9.42578125" customWidth="1"/>
    <col min="4109" max="4110" width="9.140625" customWidth="1"/>
    <col min="4111" max="4111" width="9.42578125" customWidth="1"/>
    <col min="4112" max="4113" width="9.140625" customWidth="1"/>
    <col min="4114" max="4114" width="9.42578125" customWidth="1"/>
    <col min="4115" max="4115" width="9.140625" customWidth="1"/>
    <col min="4116" max="4116" width="1.5703125" customWidth="1"/>
    <col min="4117" max="4123" width="9.140625" customWidth="1"/>
    <col min="4352" max="4352" width="1.5703125" customWidth="1"/>
    <col min="4353" max="4353" width="21" customWidth="1"/>
    <col min="4354" max="4354" width="13" customWidth="1"/>
    <col min="4355" max="4355" width="11.140625" customWidth="1"/>
    <col min="4356" max="4356" width="13.85546875" customWidth="1"/>
    <col min="4357" max="4357" width="12" customWidth="1"/>
    <col min="4358" max="4358" width="9.140625" customWidth="1"/>
    <col min="4359" max="4359" width="14.42578125" customWidth="1"/>
    <col min="4360" max="4362" width="1.28515625" customWidth="1"/>
    <col min="4363" max="4363" width="9.140625" customWidth="1"/>
    <col min="4364" max="4364" width="9.42578125" customWidth="1"/>
    <col min="4365" max="4366" width="9.140625" customWidth="1"/>
    <col min="4367" max="4367" width="9.42578125" customWidth="1"/>
    <col min="4368" max="4369" width="9.140625" customWidth="1"/>
    <col min="4370" max="4370" width="9.42578125" customWidth="1"/>
    <col min="4371" max="4371" width="9.140625" customWidth="1"/>
    <col min="4372" max="4372" width="1.5703125" customWidth="1"/>
    <col min="4373" max="4379" width="9.140625" customWidth="1"/>
    <col min="4608" max="4608" width="1.5703125" customWidth="1"/>
    <col min="4609" max="4609" width="21" customWidth="1"/>
    <col min="4610" max="4610" width="13" customWidth="1"/>
    <col min="4611" max="4611" width="11.140625" customWidth="1"/>
    <col min="4612" max="4612" width="13.85546875" customWidth="1"/>
    <col min="4613" max="4613" width="12" customWidth="1"/>
    <col min="4614" max="4614" width="9.140625" customWidth="1"/>
    <col min="4615" max="4615" width="14.42578125" customWidth="1"/>
    <col min="4616" max="4618" width="1.28515625" customWidth="1"/>
    <col min="4619" max="4619" width="9.140625" customWidth="1"/>
    <col min="4620" max="4620" width="9.42578125" customWidth="1"/>
    <col min="4621" max="4622" width="9.140625" customWidth="1"/>
    <col min="4623" max="4623" width="9.42578125" customWidth="1"/>
    <col min="4624" max="4625" width="9.140625" customWidth="1"/>
    <col min="4626" max="4626" width="9.42578125" customWidth="1"/>
    <col min="4627" max="4627" width="9.140625" customWidth="1"/>
    <col min="4628" max="4628" width="1.5703125" customWidth="1"/>
    <col min="4629" max="4635" width="9.140625" customWidth="1"/>
    <col min="4864" max="4864" width="1.5703125" customWidth="1"/>
    <col min="4865" max="4865" width="21" customWidth="1"/>
    <col min="4866" max="4866" width="13" customWidth="1"/>
    <col min="4867" max="4867" width="11.140625" customWidth="1"/>
    <col min="4868" max="4868" width="13.85546875" customWidth="1"/>
    <col min="4869" max="4869" width="12" customWidth="1"/>
    <col min="4870" max="4870" width="9.140625" customWidth="1"/>
    <col min="4871" max="4871" width="14.42578125" customWidth="1"/>
    <col min="4872" max="4874" width="1.28515625" customWidth="1"/>
    <col min="4875" max="4875" width="9.140625" customWidth="1"/>
    <col min="4876" max="4876" width="9.42578125" customWidth="1"/>
    <col min="4877" max="4878" width="9.140625" customWidth="1"/>
    <col min="4879" max="4879" width="9.42578125" customWidth="1"/>
    <col min="4880" max="4881" width="9.140625" customWidth="1"/>
    <col min="4882" max="4882" width="9.42578125" customWidth="1"/>
    <col min="4883" max="4883" width="9.140625" customWidth="1"/>
    <col min="4884" max="4884" width="1.5703125" customWidth="1"/>
    <col min="4885" max="4891" width="9.140625" customWidth="1"/>
    <col min="5120" max="5120" width="1.5703125" customWidth="1"/>
    <col min="5121" max="5121" width="21" customWidth="1"/>
    <col min="5122" max="5122" width="13" customWidth="1"/>
    <col min="5123" max="5123" width="11.140625" customWidth="1"/>
    <col min="5124" max="5124" width="13.85546875" customWidth="1"/>
    <col min="5125" max="5125" width="12" customWidth="1"/>
    <col min="5126" max="5126" width="9.140625" customWidth="1"/>
    <col min="5127" max="5127" width="14.42578125" customWidth="1"/>
    <col min="5128" max="5130" width="1.28515625" customWidth="1"/>
    <col min="5131" max="5131" width="9.140625" customWidth="1"/>
    <col min="5132" max="5132" width="9.42578125" customWidth="1"/>
    <col min="5133" max="5134" width="9.140625" customWidth="1"/>
    <col min="5135" max="5135" width="9.42578125" customWidth="1"/>
    <col min="5136" max="5137" width="9.140625" customWidth="1"/>
    <col min="5138" max="5138" width="9.42578125" customWidth="1"/>
    <col min="5139" max="5139" width="9.140625" customWidth="1"/>
    <col min="5140" max="5140" width="1.5703125" customWidth="1"/>
    <col min="5141" max="5147" width="9.140625" customWidth="1"/>
    <col min="5376" max="5376" width="1.5703125" customWidth="1"/>
    <col min="5377" max="5377" width="21" customWidth="1"/>
    <col min="5378" max="5378" width="13" customWidth="1"/>
    <col min="5379" max="5379" width="11.140625" customWidth="1"/>
    <col min="5380" max="5380" width="13.85546875" customWidth="1"/>
    <col min="5381" max="5381" width="12" customWidth="1"/>
    <col min="5382" max="5382" width="9.140625" customWidth="1"/>
    <col min="5383" max="5383" width="14.42578125" customWidth="1"/>
    <col min="5384" max="5386" width="1.28515625" customWidth="1"/>
    <col min="5387" max="5387" width="9.140625" customWidth="1"/>
    <col min="5388" max="5388" width="9.42578125" customWidth="1"/>
    <col min="5389" max="5390" width="9.140625" customWidth="1"/>
    <col min="5391" max="5391" width="9.42578125" customWidth="1"/>
    <col min="5392" max="5393" width="9.140625" customWidth="1"/>
    <col min="5394" max="5394" width="9.42578125" customWidth="1"/>
    <col min="5395" max="5395" width="9.140625" customWidth="1"/>
    <col min="5396" max="5396" width="1.5703125" customWidth="1"/>
    <col min="5397" max="5403" width="9.140625" customWidth="1"/>
    <col min="5632" max="5632" width="1.5703125" customWidth="1"/>
    <col min="5633" max="5633" width="21" customWidth="1"/>
    <col min="5634" max="5634" width="13" customWidth="1"/>
    <col min="5635" max="5635" width="11.140625" customWidth="1"/>
    <col min="5636" max="5636" width="13.85546875" customWidth="1"/>
    <col min="5637" max="5637" width="12" customWidth="1"/>
    <col min="5638" max="5638" width="9.140625" customWidth="1"/>
    <col min="5639" max="5639" width="14.42578125" customWidth="1"/>
    <col min="5640" max="5642" width="1.28515625" customWidth="1"/>
    <col min="5643" max="5643" width="9.140625" customWidth="1"/>
    <col min="5644" max="5644" width="9.42578125" customWidth="1"/>
    <col min="5645" max="5646" width="9.140625" customWidth="1"/>
    <col min="5647" max="5647" width="9.42578125" customWidth="1"/>
    <col min="5648" max="5649" width="9.140625" customWidth="1"/>
    <col min="5650" max="5650" width="9.42578125" customWidth="1"/>
    <col min="5651" max="5651" width="9.140625" customWidth="1"/>
    <col min="5652" max="5652" width="1.5703125" customWidth="1"/>
    <col min="5653" max="5659" width="9.140625" customWidth="1"/>
    <col min="5888" max="5888" width="1.5703125" customWidth="1"/>
    <col min="5889" max="5889" width="21" customWidth="1"/>
    <col min="5890" max="5890" width="13" customWidth="1"/>
    <col min="5891" max="5891" width="11.140625" customWidth="1"/>
    <col min="5892" max="5892" width="13.85546875" customWidth="1"/>
    <col min="5893" max="5893" width="12" customWidth="1"/>
    <col min="5894" max="5894" width="9.140625" customWidth="1"/>
    <col min="5895" max="5895" width="14.42578125" customWidth="1"/>
    <col min="5896" max="5898" width="1.28515625" customWidth="1"/>
    <col min="5899" max="5899" width="9.140625" customWidth="1"/>
    <col min="5900" max="5900" width="9.42578125" customWidth="1"/>
    <col min="5901" max="5902" width="9.140625" customWidth="1"/>
    <col min="5903" max="5903" width="9.42578125" customWidth="1"/>
    <col min="5904" max="5905" width="9.140625" customWidth="1"/>
    <col min="5906" max="5906" width="9.42578125" customWidth="1"/>
    <col min="5907" max="5907" width="9.140625" customWidth="1"/>
    <col min="5908" max="5908" width="1.5703125" customWidth="1"/>
    <col min="5909" max="5915" width="9.140625" customWidth="1"/>
    <col min="6144" max="6144" width="1.5703125" customWidth="1"/>
    <col min="6145" max="6145" width="21" customWidth="1"/>
    <col min="6146" max="6146" width="13" customWidth="1"/>
    <col min="6147" max="6147" width="11.140625" customWidth="1"/>
    <col min="6148" max="6148" width="13.85546875" customWidth="1"/>
    <col min="6149" max="6149" width="12" customWidth="1"/>
    <col min="6150" max="6150" width="9.140625" customWidth="1"/>
    <col min="6151" max="6151" width="14.42578125" customWidth="1"/>
    <col min="6152" max="6154" width="1.28515625" customWidth="1"/>
    <col min="6155" max="6155" width="9.140625" customWidth="1"/>
    <col min="6156" max="6156" width="9.42578125" customWidth="1"/>
    <col min="6157" max="6158" width="9.140625" customWidth="1"/>
    <col min="6159" max="6159" width="9.42578125" customWidth="1"/>
    <col min="6160" max="6161" width="9.140625" customWidth="1"/>
    <col min="6162" max="6162" width="9.42578125" customWidth="1"/>
    <col min="6163" max="6163" width="9.140625" customWidth="1"/>
    <col min="6164" max="6164" width="1.5703125" customWidth="1"/>
    <col min="6165" max="6171" width="9.140625" customWidth="1"/>
    <col min="6400" max="6400" width="1.5703125" customWidth="1"/>
    <col min="6401" max="6401" width="21" customWidth="1"/>
    <col min="6402" max="6402" width="13" customWidth="1"/>
    <col min="6403" max="6403" width="11.140625" customWidth="1"/>
    <col min="6404" max="6404" width="13.85546875" customWidth="1"/>
    <col min="6405" max="6405" width="12" customWidth="1"/>
    <col min="6406" max="6406" width="9.140625" customWidth="1"/>
    <col min="6407" max="6407" width="14.42578125" customWidth="1"/>
    <col min="6408" max="6410" width="1.28515625" customWidth="1"/>
    <col min="6411" max="6411" width="9.140625" customWidth="1"/>
    <col min="6412" max="6412" width="9.42578125" customWidth="1"/>
    <col min="6413" max="6414" width="9.140625" customWidth="1"/>
    <col min="6415" max="6415" width="9.42578125" customWidth="1"/>
    <col min="6416" max="6417" width="9.140625" customWidth="1"/>
    <col min="6418" max="6418" width="9.42578125" customWidth="1"/>
    <col min="6419" max="6419" width="9.140625" customWidth="1"/>
    <col min="6420" max="6420" width="1.5703125" customWidth="1"/>
    <col min="6421" max="6427" width="9.140625" customWidth="1"/>
    <col min="6656" max="6656" width="1.5703125" customWidth="1"/>
    <col min="6657" max="6657" width="21" customWidth="1"/>
    <col min="6658" max="6658" width="13" customWidth="1"/>
    <col min="6659" max="6659" width="11.140625" customWidth="1"/>
    <col min="6660" max="6660" width="13.85546875" customWidth="1"/>
    <col min="6661" max="6661" width="12" customWidth="1"/>
    <col min="6662" max="6662" width="9.140625" customWidth="1"/>
    <col min="6663" max="6663" width="14.42578125" customWidth="1"/>
    <col min="6664" max="6666" width="1.28515625" customWidth="1"/>
    <col min="6667" max="6667" width="9.140625" customWidth="1"/>
    <col min="6668" max="6668" width="9.42578125" customWidth="1"/>
    <col min="6669" max="6670" width="9.140625" customWidth="1"/>
    <col min="6671" max="6671" width="9.42578125" customWidth="1"/>
    <col min="6672" max="6673" width="9.140625" customWidth="1"/>
    <col min="6674" max="6674" width="9.42578125" customWidth="1"/>
    <col min="6675" max="6675" width="9.140625" customWidth="1"/>
    <col min="6676" max="6676" width="1.5703125" customWidth="1"/>
    <col min="6677" max="6683" width="9.140625" customWidth="1"/>
    <col min="6912" max="6912" width="1.5703125" customWidth="1"/>
    <col min="6913" max="6913" width="21" customWidth="1"/>
    <col min="6914" max="6914" width="13" customWidth="1"/>
    <col min="6915" max="6915" width="11.140625" customWidth="1"/>
    <col min="6916" max="6916" width="13.85546875" customWidth="1"/>
    <col min="6917" max="6917" width="12" customWidth="1"/>
    <col min="6918" max="6918" width="9.140625" customWidth="1"/>
    <col min="6919" max="6919" width="14.42578125" customWidth="1"/>
    <col min="6920" max="6922" width="1.28515625" customWidth="1"/>
    <col min="6923" max="6923" width="9.140625" customWidth="1"/>
    <col min="6924" max="6924" width="9.42578125" customWidth="1"/>
    <col min="6925" max="6926" width="9.140625" customWidth="1"/>
    <col min="6927" max="6927" width="9.42578125" customWidth="1"/>
    <col min="6928" max="6929" width="9.140625" customWidth="1"/>
    <col min="6930" max="6930" width="9.42578125" customWidth="1"/>
    <col min="6931" max="6931" width="9.140625" customWidth="1"/>
    <col min="6932" max="6932" width="1.5703125" customWidth="1"/>
    <col min="6933" max="6939" width="9.140625" customWidth="1"/>
    <col min="7168" max="7168" width="1.5703125" customWidth="1"/>
    <col min="7169" max="7169" width="21" customWidth="1"/>
    <col min="7170" max="7170" width="13" customWidth="1"/>
    <col min="7171" max="7171" width="11.140625" customWidth="1"/>
    <col min="7172" max="7172" width="13.85546875" customWidth="1"/>
    <col min="7173" max="7173" width="12" customWidth="1"/>
    <col min="7174" max="7174" width="9.140625" customWidth="1"/>
    <col min="7175" max="7175" width="14.42578125" customWidth="1"/>
    <col min="7176" max="7178" width="1.28515625" customWidth="1"/>
    <col min="7179" max="7179" width="9.140625" customWidth="1"/>
    <col min="7180" max="7180" width="9.42578125" customWidth="1"/>
    <col min="7181" max="7182" width="9.140625" customWidth="1"/>
    <col min="7183" max="7183" width="9.42578125" customWidth="1"/>
    <col min="7184" max="7185" width="9.140625" customWidth="1"/>
    <col min="7186" max="7186" width="9.42578125" customWidth="1"/>
    <col min="7187" max="7187" width="9.140625" customWidth="1"/>
    <col min="7188" max="7188" width="1.5703125" customWidth="1"/>
    <col min="7189" max="7195" width="9.140625" customWidth="1"/>
    <col min="7424" max="7424" width="1.5703125" customWidth="1"/>
    <col min="7425" max="7425" width="21" customWidth="1"/>
    <col min="7426" max="7426" width="13" customWidth="1"/>
    <col min="7427" max="7427" width="11.140625" customWidth="1"/>
    <col min="7428" max="7428" width="13.85546875" customWidth="1"/>
    <col min="7429" max="7429" width="12" customWidth="1"/>
    <col min="7430" max="7430" width="9.140625" customWidth="1"/>
    <col min="7431" max="7431" width="14.42578125" customWidth="1"/>
    <col min="7432" max="7434" width="1.28515625" customWidth="1"/>
    <col min="7435" max="7435" width="9.140625" customWidth="1"/>
    <col min="7436" max="7436" width="9.42578125" customWidth="1"/>
    <col min="7437" max="7438" width="9.140625" customWidth="1"/>
    <col min="7439" max="7439" width="9.42578125" customWidth="1"/>
    <col min="7440" max="7441" width="9.140625" customWidth="1"/>
    <col min="7442" max="7442" width="9.42578125" customWidth="1"/>
    <col min="7443" max="7443" width="9.140625" customWidth="1"/>
    <col min="7444" max="7444" width="1.5703125" customWidth="1"/>
    <col min="7445" max="7451" width="9.140625" customWidth="1"/>
    <col min="7680" max="7680" width="1.5703125" customWidth="1"/>
    <col min="7681" max="7681" width="21" customWidth="1"/>
    <col min="7682" max="7682" width="13" customWidth="1"/>
    <col min="7683" max="7683" width="11.140625" customWidth="1"/>
    <col min="7684" max="7684" width="13.85546875" customWidth="1"/>
    <col min="7685" max="7685" width="12" customWidth="1"/>
    <col min="7686" max="7686" width="9.140625" customWidth="1"/>
    <col min="7687" max="7687" width="14.42578125" customWidth="1"/>
    <col min="7688" max="7690" width="1.28515625" customWidth="1"/>
    <col min="7691" max="7691" width="9.140625" customWidth="1"/>
    <col min="7692" max="7692" width="9.42578125" customWidth="1"/>
    <col min="7693" max="7694" width="9.140625" customWidth="1"/>
    <col min="7695" max="7695" width="9.42578125" customWidth="1"/>
    <col min="7696" max="7697" width="9.140625" customWidth="1"/>
    <col min="7698" max="7698" width="9.42578125" customWidth="1"/>
    <col min="7699" max="7699" width="9.140625" customWidth="1"/>
    <col min="7700" max="7700" width="1.5703125" customWidth="1"/>
    <col min="7701" max="7707" width="9.140625" customWidth="1"/>
    <col min="7936" max="7936" width="1.5703125" customWidth="1"/>
    <col min="7937" max="7937" width="21" customWidth="1"/>
    <col min="7938" max="7938" width="13" customWidth="1"/>
    <col min="7939" max="7939" width="11.140625" customWidth="1"/>
    <col min="7940" max="7940" width="13.85546875" customWidth="1"/>
    <col min="7941" max="7941" width="12" customWidth="1"/>
    <col min="7942" max="7942" width="9.140625" customWidth="1"/>
    <col min="7943" max="7943" width="14.42578125" customWidth="1"/>
    <col min="7944" max="7946" width="1.28515625" customWidth="1"/>
    <col min="7947" max="7947" width="9.140625" customWidth="1"/>
    <col min="7948" max="7948" width="9.42578125" customWidth="1"/>
    <col min="7949" max="7950" width="9.140625" customWidth="1"/>
    <col min="7951" max="7951" width="9.42578125" customWidth="1"/>
    <col min="7952" max="7953" width="9.140625" customWidth="1"/>
    <col min="7954" max="7954" width="9.42578125" customWidth="1"/>
    <col min="7955" max="7955" width="9.140625" customWidth="1"/>
    <col min="7956" max="7956" width="1.5703125" customWidth="1"/>
    <col min="7957" max="7963" width="9.140625" customWidth="1"/>
    <col min="8192" max="8192" width="1.5703125" customWidth="1"/>
    <col min="8193" max="8193" width="21" customWidth="1"/>
    <col min="8194" max="8194" width="13" customWidth="1"/>
    <col min="8195" max="8195" width="11.140625" customWidth="1"/>
    <col min="8196" max="8196" width="13.85546875" customWidth="1"/>
    <col min="8197" max="8197" width="12" customWidth="1"/>
    <col min="8198" max="8198" width="9.140625" customWidth="1"/>
    <col min="8199" max="8199" width="14.42578125" customWidth="1"/>
    <col min="8200" max="8202" width="1.28515625" customWidth="1"/>
    <col min="8203" max="8203" width="9.140625" customWidth="1"/>
    <col min="8204" max="8204" width="9.42578125" customWidth="1"/>
    <col min="8205" max="8206" width="9.140625" customWidth="1"/>
    <col min="8207" max="8207" width="9.42578125" customWidth="1"/>
    <col min="8208" max="8209" width="9.140625" customWidth="1"/>
    <col min="8210" max="8210" width="9.42578125" customWidth="1"/>
    <col min="8211" max="8211" width="9.140625" customWidth="1"/>
    <col min="8212" max="8212" width="1.5703125" customWidth="1"/>
    <col min="8213" max="8219" width="9.140625" customWidth="1"/>
    <col min="8448" max="8448" width="1.5703125" customWidth="1"/>
    <col min="8449" max="8449" width="21" customWidth="1"/>
    <col min="8450" max="8450" width="13" customWidth="1"/>
    <col min="8451" max="8451" width="11.140625" customWidth="1"/>
    <col min="8452" max="8452" width="13.85546875" customWidth="1"/>
    <col min="8453" max="8453" width="12" customWidth="1"/>
    <col min="8454" max="8454" width="9.140625" customWidth="1"/>
    <col min="8455" max="8455" width="14.42578125" customWidth="1"/>
    <col min="8456" max="8458" width="1.28515625" customWidth="1"/>
    <col min="8459" max="8459" width="9.140625" customWidth="1"/>
    <col min="8460" max="8460" width="9.42578125" customWidth="1"/>
    <col min="8461" max="8462" width="9.140625" customWidth="1"/>
    <col min="8463" max="8463" width="9.42578125" customWidth="1"/>
    <col min="8464" max="8465" width="9.140625" customWidth="1"/>
    <col min="8466" max="8466" width="9.42578125" customWidth="1"/>
    <col min="8467" max="8467" width="9.140625" customWidth="1"/>
    <col min="8468" max="8468" width="1.5703125" customWidth="1"/>
    <col min="8469" max="8475" width="9.140625" customWidth="1"/>
    <col min="8704" max="8704" width="1.5703125" customWidth="1"/>
    <col min="8705" max="8705" width="21" customWidth="1"/>
    <col min="8706" max="8706" width="13" customWidth="1"/>
    <col min="8707" max="8707" width="11.140625" customWidth="1"/>
    <col min="8708" max="8708" width="13.85546875" customWidth="1"/>
    <col min="8709" max="8709" width="12" customWidth="1"/>
    <col min="8710" max="8710" width="9.140625" customWidth="1"/>
    <col min="8711" max="8711" width="14.42578125" customWidth="1"/>
    <col min="8712" max="8714" width="1.28515625" customWidth="1"/>
    <col min="8715" max="8715" width="9.140625" customWidth="1"/>
    <col min="8716" max="8716" width="9.42578125" customWidth="1"/>
    <col min="8717" max="8718" width="9.140625" customWidth="1"/>
    <col min="8719" max="8719" width="9.42578125" customWidth="1"/>
    <col min="8720" max="8721" width="9.140625" customWidth="1"/>
    <col min="8722" max="8722" width="9.42578125" customWidth="1"/>
    <col min="8723" max="8723" width="9.140625" customWidth="1"/>
    <col min="8724" max="8724" width="1.5703125" customWidth="1"/>
    <col min="8725" max="8731" width="9.140625" customWidth="1"/>
    <col min="8960" max="8960" width="1.5703125" customWidth="1"/>
    <col min="8961" max="8961" width="21" customWidth="1"/>
    <col min="8962" max="8962" width="13" customWidth="1"/>
    <col min="8963" max="8963" width="11.140625" customWidth="1"/>
    <col min="8964" max="8964" width="13.85546875" customWidth="1"/>
    <col min="8965" max="8965" width="12" customWidth="1"/>
    <col min="8966" max="8966" width="9.140625" customWidth="1"/>
    <col min="8967" max="8967" width="14.42578125" customWidth="1"/>
    <col min="8968" max="8970" width="1.28515625" customWidth="1"/>
    <col min="8971" max="8971" width="9.140625" customWidth="1"/>
    <col min="8972" max="8972" width="9.42578125" customWidth="1"/>
    <col min="8973" max="8974" width="9.140625" customWidth="1"/>
    <col min="8975" max="8975" width="9.42578125" customWidth="1"/>
    <col min="8976" max="8977" width="9.140625" customWidth="1"/>
    <col min="8978" max="8978" width="9.42578125" customWidth="1"/>
    <col min="8979" max="8979" width="9.140625" customWidth="1"/>
    <col min="8980" max="8980" width="1.5703125" customWidth="1"/>
    <col min="8981" max="8987" width="9.140625" customWidth="1"/>
    <col min="9216" max="9216" width="1.5703125" customWidth="1"/>
    <col min="9217" max="9217" width="21" customWidth="1"/>
    <col min="9218" max="9218" width="13" customWidth="1"/>
    <col min="9219" max="9219" width="11.140625" customWidth="1"/>
    <col min="9220" max="9220" width="13.85546875" customWidth="1"/>
    <col min="9221" max="9221" width="12" customWidth="1"/>
    <col min="9222" max="9222" width="9.140625" customWidth="1"/>
    <col min="9223" max="9223" width="14.42578125" customWidth="1"/>
    <col min="9224" max="9226" width="1.28515625" customWidth="1"/>
    <col min="9227" max="9227" width="9.140625" customWidth="1"/>
    <col min="9228" max="9228" width="9.42578125" customWidth="1"/>
    <col min="9229" max="9230" width="9.140625" customWidth="1"/>
    <col min="9231" max="9231" width="9.42578125" customWidth="1"/>
    <col min="9232" max="9233" width="9.140625" customWidth="1"/>
    <col min="9234" max="9234" width="9.42578125" customWidth="1"/>
    <col min="9235" max="9235" width="9.140625" customWidth="1"/>
    <col min="9236" max="9236" width="1.5703125" customWidth="1"/>
    <col min="9237" max="9243" width="9.140625" customWidth="1"/>
    <col min="9472" max="9472" width="1.5703125" customWidth="1"/>
    <col min="9473" max="9473" width="21" customWidth="1"/>
    <col min="9474" max="9474" width="13" customWidth="1"/>
    <col min="9475" max="9475" width="11.140625" customWidth="1"/>
    <col min="9476" max="9476" width="13.85546875" customWidth="1"/>
    <col min="9477" max="9477" width="12" customWidth="1"/>
    <col min="9478" max="9478" width="9.140625" customWidth="1"/>
    <col min="9479" max="9479" width="14.42578125" customWidth="1"/>
    <col min="9480" max="9482" width="1.28515625" customWidth="1"/>
    <col min="9483" max="9483" width="9.140625" customWidth="1"/>
    <col min="9484" max="9484" width="9.42578125" customWidth="1"/>
    <col min="9485" max="9486" width="9.140625" customWidth="1"/>
    <col min="9487" max="9487" width="9.42578125" customWidth="1"/>
    <col min="9488" max="9489" width="9.140625" customWidth="1"/>
    <col min="9490" max="9490" width="9.42578125" customWidth="1"/>
    <col min="9491" max="9491" width="9.140625" customWidth="1"/>
    <col min="9492" max="9492" width="1.5703125" customWidth="1"/>
    <col min="9493" max="9499" width="9.140625" customWidth="1"/>
    <col min="9728" max="9728" width="1.5703125" customWidth="1"/>
    <col min="9729" max="9729" width="21" customWidth="1"/>
    <col min="9730" max="9730" width="13" customWidth="1"/>
    <col min="9731" max="9731" width="11.140625" customWidth="1"/>
    <col min="9732" max="9732" width="13.85546875" customWidth="1"/>
    <col min="9733" max="9733" width="12" customWidth="1"/>
    <col min="9734" max="9734" width="9.140625" customWidth="1"/>
    <col min="9735" max="9735" width="14.42578125" customWidth="1"/>
    <col min="9736" max="9738" width="1.28515625" customWidth="1"/>
    <col min="9739" max="9739" width="9.140625" customWidth="1"/>
    <col min="9740" max="9740" width="9.42578125" customWidth="1"/>
    <col min="9741" max="9742" width="9.140625" customWidth="1"/>
    <col min="9743" max="9743" width="9.42578125" customWidth="1"/>
    <col min="9744" max="9745" width="9.140625" customWidth="1"/>
    <col min="9746" max="9746" width="9.42578125" customWidth="1"/>
    <col min="9747" max="9747" width="9.140625" customWidth="1"/>
    <col min="9748" max="9748" width="1.5703125" customWidth="1"/>
    <col min="9749" max="9755" width="9.140625" customWidth="1"/>
    <col min="9984" max="9984" width="1.5703125" customWidth="1"/>
    <col min="9985" max="9985" width="21" customWidth="1"/>
    <col min="9986" max="9986" width="13" customWidth="1"/>
    <col min="9987" max="9987" width="11.140625" customWidth="1"/>
    <col min="9988" max="9988" width="13.85546875" customWidth="1"/>
    <col min="9989" max="9989" width="12" customWidth="1"/>
    <col min="9990" max="9990" width="9.140625" customWidth="1"/>
    <col min="9991" max="9991" width="14.42578125" customWidth="1"/>
    <col min="9992" max="9994" width="1.28515625" customWidth="1"/>
    <col min="9995" max="9995" width="9.140625" customWidth="1"/>
    <col min="9996" max="9996" width="9.42578125" customWidth="1"/>
    <col min="9997" max="9998" width="9.140625" customWidth="1"/>
    <col min="9999" max="9999" width="9.42578125" customWidth="1"/>
    <col min="10000" max="10001" width="9.140625" customWidth="1"/>
    <col min="10002" max="10002" width="9.42578125" customWidth="1"/>
    <col min="10003" max="10003" width="9.140625" customWidth="1"/>
    <col min="10004" max="10004" width="1.5703125" customWidth="1"/>
    <col min="10005" max="10011" width="9.140625" customWidth="1"/>
    <col min="10240" max="10240" width="1.5703125" customWidth="1"/>
    <col min="10241" max="10241" width="21" customWidth="1"/>
    <col min="10242" max="10242" width="13" customWidth="1"/>
    <col min="10243" max="10243" width="11.140625" customWidth="1"/>
    <col min="10244" max="10244" width="13.85546875" customWidth="1"/>
    <col min="10245" max="10245" width="12" customWidth="1"/>
    <col min="10246" max="10246" width="9.140625" customWidth="1"/>
    <col min="10247" max="10247" width="14.42578125" customWidth="1"/>
    <col min="10248" max="10250" width="1.28515625" customWidth="1"/>
    <col min="10251" max="10251" width="9.140625" customWidth="1"/>
    <col min="10252" max="10252" width="9.42578125" customWidth="1"/>
    <col min="10253" max="10254" width="9.140625" customWidth="1"/>
    <col min="10255" max="10255" width="9.42578125" customWidth="1"/>
    <col min="10256" max="10257" width="9.140625" customWidth="1"/>
    <col min="10258" max="10258" width="9.42578125" customWidth="1"/>
    <col min="10259" max="10259" width="9.140625" customWidth="1"/>
    <col min="10260" max="10260" width="1.5703125" customWidth="1"/>
    <col min="10261" max="10267" width="9.140625" customWidth="1"/>
    <col min="10496" max="10496" width="1.5703125" customWidth="1"/>
    <col min="10497" max="10497" width="21" customWidth="1"/>
    <col min="10498" max="10498" width="13" customWidth="1"/>
    <col min="10499" max="10499" width="11.140625" customWidth="1"/>
    <col min="10500" max="10500" width="13.85546875" customWidth="1"/>
    <col min="10501" max="10501" width="12" customWidth="1"/>
    <col min="10502" max="10502" width="9.140625" customWidth="1"/>
    <col min="10503" max="10503" width="14.42578125" customWidth="1"/>
    <col min="10504" max="10506" width="1.28515625" customWidth="1"/>
    <col min="10507" max="10507" width="9.140625" customWidth="1"/>
    <col min="10508" max="10508" width="9.42578125" customWidth="1"/>
    <col min="10509" max="10510" width="9.140625" customWidth="1"/>
    <col min="10511" max="10511" width="9.42578125" customWidth="1"/>
    <col min="10512" max="10513" width="9.140625" customWidth="1"/>
    <col min="10514" max="10514" width="9.42578125" customWidth="1"/>
    <col min="10515" max="10515" width="9.140625" customWidth="1"/>
    <col min="10516" max="10516" width="1.5703125" customWidth="1"/>
    <col min="10517" max="10523" width="9.140625" customWidth="1"/>
    <col min="10752" max="10752" width="1.5703125" customWidth="1"/>
    <col min="10753" max="10753" width="21" customWidth="1"/>
    <col min="10754" max="10754" width="13" customWidth="1"/>
    <col min="10755" max="10755" width="11.140625" customWidth="1"/>
    <col min="10756" max="10756" width="13.85546875" customWidth="1"/>
    <col min="10757" max="10757" width="12" customWidth="1"/>
    <col min="10758" max="10758" width="9.140625" customWidth="1"/>
    <col min="10759" max="10759" width="14.42578125" customWidth="1"/>
    <col min="10760" max="10762" width="1.28515625" customWidth="1"/>
    <col min="10763" max="10763" width="9.140625" customWidth="1"/>
    <col min="10764" max="10764" width="9.42578125" customWidth="1"/>
    <col min="10765" max="10766" width="9.140625" customWidth="1"/>
    <col min="10767" max="10767" width="9.42578125" customWidth="1"/>
    <col min="10768" max="10769" width="9.140625" customWidth="1"/>
    <col min="10770" max="10770" width="9.42578125" customWidth="1"/>
    <col min="10771" max="10771" width="9.140625" customWidth="1"/>
    <col min="10772" max="10772" width="1.5703125" customWidth="1"/>
    <col min="10773" max="10779" width="9.140625" customWidth="1"/>
    <col min="11008" max="11008" width="1.5703125" customWidth="1"/>
    <col min="11009" max="11009" width="21" customWidth="1"/>
    <col min="11010" max="11010" width="13" customWidth="1"/>
    <col min="11011" max="11011" width="11.140625" customWidth="1"/>
    <col min="11012" max="11012" width="13.85546875" customWidth="1"/>
    <col min="11013" max="11013" width="12" customWidth="1"/>
    <col min="11014" max="11014" width="9.140625" customWidth="1"/>
    <col min="11015" max="11015" width="14.42578125" customWidth="1"/>
    <col min="11016" max="11018" width="1.28515625" customWidth="1"/>
    <col min="11019" max="11019" width="9.140625" customWidth="1"/>
    <col min="11020" max="11020" width="9.42578125" customWidth="1"/>
    <col min="11021" max="11022" width="9.140625" customWidth="1"/>
    <col min="11023" max="11023" width="9.42578125" customWidth="1"/>
    <col min="11024" max="11025" width="9.140625" customWidth="1"/>
    <col min="11026" max="11026" width="9.42578125" customWidth="1"/>
    <col min="11027" max="11027" width="9.140625" customWidth="1"/>
    <col min="11028" max="11028" width="1.5703125" customWidth="1"/>
    <col min="11029" max="11035" width="9.140625" customWidth="1"/>
    <col min="11264" max="11264" width="1.5703125" customWidth="1"/>
    <col min="11265" max="11265" width="21" customWidth="1"/>
    <col min="11266" max="11266" width="13" customWidth="1"/>
    <col min="11267" max="11267" width="11.140625" customWidth="1"/>
    <col min="11268" max="11268" width="13.85546875" customWidth="1"/>
    <col min="11269" max="11269" width="12" customWidth="1"/>
    <col min="11270" max="11270" width="9.140625" customWidth="1"/>
    <col min="11271" max="11271" width="14.42578125" customWidth="1"/>
    <col min="11272" max="11274" width="1.28515625" customWidth="1"/>
    <col min="11275" max="11275" width="9.140625" customWidth="1"/>
    <col min="11276" max="11276" width="9.42578125" customWidth="1"/>
    <col min="11277" max="11278" width="9.140625" customWidth="1"/>
    <col min="11279" max="11279" width="9.42578125" customWidth="1"/>
    <col min="11280" max="11281" width="9.140625" customWidth="1"/>
    <col min="11282" max="11282" width="9.42578125" customWidth="1"/>
    <col min="11283" max="11283" width="9.140625" customWidth="1"/>
    <col min="11284" max="11284" width="1.5703125" customWidth="1"/>
    <col min="11285" max="11291" width="9.140625" customWidth="1"/>
    <col min="11520" max="11520" width="1.5703125" customWidth="1"/>
    <col min="11521" max="11521" width="21" customWidth="1"/>
    <col min="11522" max="11522" width="13" customWidth="1"/>
    <col min="11523" max="11523" width="11.140625" customWidth="1"/>
    <col min="11524" max="11524" width="13.85546875" customWidth="1"/>
    <col min="11525" max="11525" width="12" customWidth="1"/>
    <col min="11526" max="11526" width="9.140625" customWidth="1"/>
    <col min="11527" max="11527" width="14.42578125" customWidth="1"/>
    <col min="11528" max="11530" width="1.28515625" customWidth="1"/>
    <col min="11531" max="11531" width="9.140625" customWidth="1"/>
    <col min="11532" max="11532" width="9.42578125" customWidth="1"/>
    <col min="11533" max="11534" width="9.140625" customWidth="1"/>
    <col min="11535" max="11535" width="9.42578125" customWidth="1"/>
    <col min="11536" max="11537" width="9.140625" customWidth="1"/>
    <col min="11538" max="11538" width="9.42578125" customWidth="1"/>
    <col min="11539" max="11539" width="9.140625" customWidth="1"/>
    <col min="11540" max="11540" width="1.5703125" customWidth="1"/>
    <col min="11541" max="11547" width="9.140625" customWidth="1"/>
    <col min="11776" max="11776" width="1.5703125" customWidth="1"/>
    <col min="11777" max="11777" width="21" customWidth="1"/>
    <col min="11778" max="11778" width="13" customWidth="1"/>
    <col min="11779" max="11779" width="11.140625" customWidth="1"/>
    <col min="11780" max="11780" width="13.85546875" customWidth="1"/>
    <col min="11781" max="11781" width="12" customWidth="1"/>
    <col min="11782" max="11782" width="9.140625" customWidth="1"/>
    <col min="11783" max="11783" width="14.42578125" customWidth="1"/>
    <col min="11784" max="11786" width="1.28515625" customWidth="1"/>
    <col min="11787" max="11787" width="9.140625" customWidth="1"/>
    <col min="11788" max="11788" width="9.42578125" customWidth="1"/>
    <col min="11789" max="11790" width="9.140625" customWidth="1"/>
    <col min="11791" max="11791" width="9.42578125" customWidth="1"/>
    <col min="11792" max="11793" width="9.140625" customWidth="1"/>
    <col min="11794" max="11794" width="9.42578125" customWidth="1"/>
    <col min="11795" max="11795" width="9.140625" customWidth="1"/>
    <col min="11796" max="11796" width="1.5703125" customWidth="1"/>
    <col min="11797" max="11803" width="9.140625" customWidth="1"/>
    <col min="12032" max="12032" width="1.5703125" customWidth="1"/>
    <col min="12033" max="12033" width="21" customWidth="1"/>
    <col min="12034" max="12034" width="13" customWidth="1"/>
    <col min="12035" max="12035" width="11.140625" customWidth="1"/>
    <col min="12036" max="12036" width="13.85546875" customWidth="1"/>
    <col min="12037" max="12037" width="12" customWidth="1"/>
    <col min="12038" max="12038" width="9.140625" customWidth="1"/>
    <col min="12039" max="12039" width="14.42578125" customWidth="1"/>
    <col min="12040" max="12042" width="1.28515625" customWidth="1"/>
    <col min="12043" max="12043" width="9.140625" customWidth="1"/>
    <col min="12044" max="12044" width="9.42578125" customWidth="1"/>
    <col min="12045" max="12046" width="9.140625" customWidth="1"/>
    <col min="12047" max="12047" width="9.42578125" customWidth="1"/>
    <col min="12048" max="12049" width="9.140625" customWidth="1"/>
    <col min="12050" max="12050" width="9.42578125" customWidth="1"/>
    <col min="12051" max="12051" width="9.140625" customWidth="1"/>
    <col min="12052" max="12052" width="1.5703125" customWidth="1"/>
    <col min="12053" max="12059" width="9.140625" customWidth="1"/>
    <col min="12288" max="12288" width="1.5703125" customWidth="1"/>
    <col min="12289" max="12289" width="21" customWidth="1"/>
    <col min="12290" max="12290" width="13" customWidth="1"/>
    <col min="12291" max="12291" width="11.140625" customWidth="1"/>
    <col min="12292" max="12292" width="13.85546875" customWidth="1"/>
    <col min="12293" max="12293" width="12" customWidth="1"/>
    <col min="12294" max="12294" width="9.140625" customWidth="1"/>
    <col min="12295" max="12295" width="14.42578125" customWidth="1"/>
    <col min="12296" max="12298" width="1.28515625" customWidth="1"/>
    <col min="12299" max="12299" width="9.140625" customWidth="1"/>
    <col min="12300" max="12300" width="9.42578125" customWidth="1"/>
    <col min="12301" max="12302" width="9.140625" customWidth="1"/>
    <col min="12303" max="12303" width="9.42578125" customWidth="1"/>
    <col min="12304" max="12305" width="9.140625" customWidth="1"/>
    <col min="12306" max="12306" width="9.42578125" customWidth="1"/>
    <col min="12307" max="12307" width="9.140625" customWidth="1"/>
    <col min="12308" max="12308" width="1.5703125" customWidth="1"/>
    <col min="12309" max="12315" width="9.140625" customWidth="1"/>
    <col min="12544" max="12544" width="1.5703125" customWidth="1"/>
    <col min="12545" max="12545" width="21" customWidth="1"/>
    <col min="12546" max="12546" width="13" customWidth="1"/>
    <col min="12547" max="12547" width="11.140625" customWidth="1"/>
    <col min="12548" max="12548" width="13.85546875" customWidth="1"/>
    <col min="12549" max="12549" width="12" customWidth="1"/>
    <col min="12550" max="12550" width="9.140625" customWidth="1"/>
    <col min="12551" max="12551" width="14.42578125" customWidth="1"/>
    <col min="12552" max="12554" width="1.28515625" customWidth="1"/>
    <col min="12555" max="12555" width="9.140625" customWidth="1"/>
    <col min="12556" max="12556" width="9.42578125" customWidth="1"/>
    <col min="12557" max="12558" width="9.140625" customWidth="1"/>
    <col min="12559" max="12559" width="9.42578125" customWidth="1"/>
    <col min="12560" max="12561" width="9.140625" customWidth="1"/>
    <col min="12562" max="12562" width="9.42578125" customWidth="1"/>
    <col min="12563" max="12563" width="9.140625" customWidth="1"/>
    <col min="12564" max="12564" width="1.5703125" customWidth="1"/>
    <col min="12565" max="12571" width="9.140625" customWidth="1"/>
    <col min="12800" max="12800" width="1.5703125" customWidth="1"/>
    <col min="12801" max="12801" width="21" customWidth="1"/>
    <col min="12802" max="12802" width="13" customWidth="1"/>
    <col min="12803" max="12803" width="11.140625" customWidth="1"/>
    <col min="12804" max="12804" width="13.85546875" customWidth="1"/>
    <col min="12805" max="12805" width="12" customWidth="1"/>
    <col min="12806" max="12806" width="9.140625" customWidth="1"/>
    <col min="12807" max="12807" width="14.42578125" customWidth="1"/>
    <col min="12808" max="12810" width="1.28515625" customWidth="1"/>
    <col min="12811" max="12811" width="9.140625" customWidth="1"/>
    <col min="12812" max="12812" width="9.42578125" customWidth="1"/>
    <col min="12813" max="12814" width="9.140625" customWidth="1"/>
    <col min="12815" max="12815" width="9.42578125" customWidth="1"/>
    <col min="12816" max="12817" width="9.140625" customWidth="1"/>
    <col min="12818" max="12818" width="9.42578125" customWidth="1"/>
    <col min="12819" max="12819" width="9.140625" customWidth="1"/>
    <col min="12820" max="12820" width="1.5703125" customWidth="1"/>
    <col min="12821" max="12827" width="9.140625" customWidth="1"/>
    <col min="13056" max="13056" width="1.5703125" customWidth="1"/>
    <col min="13057" max="13057" width="21" customWidth="1"/>
    <col min="13058" max="13058" width="13" customWidth="1"/>
    <col min="13059" max="13059" width="11.140625" customWidth="1"/>
    <col min="13060" max="13060" width="13.85546875" customWidth="1"/>
    <col min="13061" max="13061" width="12" customWidth="1"/>
    <col min="13062" max="13062" width="9.140625" customWidth="1"/>
    <col min="13063" max="13063" width="14.42578125" customWidth="1"/>
    <col min="13064" max="13066" width="1.28515625" customWidth="1"/>
    <col min="13067" max="13067" width="9.140625" customWidth="1"/>
    <col min="13068" max="13068" width="9.42578125" customWidth="1"/>
    <col min="13069" max="13070" width="9.140625" customWidth="1"/>
    <col min="13071" max="13071" width="9.42578125" customWidth="1"/>
    <col min="13072" max="13073" width="9.140625" customWidth="1"/>
    <col min="13074" max="13074" width="9.42578125" customWidth="1"/>
    <col min="13075" max="13075" width="9.140625" customWidth="1"/>
    <col min="13076" max="13076" width="1.5703125" customWidth="1"/>
    <col min="13077" max="13083" width="9.140625" customWidth="1"/>
    <col min="13312" max="13312" width="1.5703125" customWidth="1"/>
    <col min="13313" max="13313" width="21" customWidth="1"/>
    <col min="13314" max="13314" width="13" customWidth="1"/>
    <col min="13315" max="13315" width="11.140625" customWidth="1"/>
    <col min="13316" max="13316" width="13.85546875" customWidth="1"/>
    <col min="13317" max="13317" width="12" customWidth="1"/>
    <col min="13318" max="13318" width="9.140625" customWidth="1"/>
    <col min="13319" max="13319" width="14.42578125" customWidth="1"/>
    <col min="13320" max="13322" width="1.28515625" customWidth="1"/>
    <col min="13323" max="13323" width="9.140625" customWidth="1"/>
    <col min="13324" max="13324" width="9.42578125" customWidth="1"/>
    <col min="13325" max="13326" width="9.140625" customWidth="1"/>
    <col min="13327" max="13327" width="9.42578125" customWidth="1"/>
    <col min="13328" max="13329" width="9.140625" customWidth="1"/>
    <col min="13330" max="13330" width="9.42578125" customWidth="1"/>
    <col min="13331" max="13331" width="9.140625" customWidth="1"/>
    <col min="13332" max="13332" width="1.5703125" customWidth="1"/>
    <col min="13333" max="13339" width="9.140625" customWidth="1"/>
    <col min="13568" max="13568" width="1.5703125" customWidth="1"/>
    <col min="13569" max="13569" width="21" customWidth="1"/>
    <col min="13570" max="13570" width="13" customWidth="1"/>
    <col min="13571" max="13571" width="11.140625" customWidth="1"/>
    <col min="13572" max="13572" width="13.85546875" customWidth="1"/>
    <col min="13573" max="13573" width="12" customWidth="1"/>
    <col min="13574" max="13574" width="9.140625" customWidth="1"/>
    <col min="13575" max="13575" width="14.42578125" customWidth="1"/>
    <col min="13576" max="13578" width="1.28515625" customWidth="1"/>
    <col min="13579" max="13579" width="9.140625" customWidth="1"/>
    <col min="13580" max="13580" width="9.42578125" customWidth="1"/>
    <col min="13581" max="13582" width="9.140625" customWidth="1"/>
    <col min="13583" max="13583" width="9.42578125" customWidth="1"/>
    <col min="13584" max="13585" width="9.140625" customWidth="1"/>
    <col min="13586" max="13586" width="9.42578125" customWidth="1"/>
    <col min="13587" max="13587" width="9.140625" customWidth="1"/>
    <col min="13588" max="13588" width="1.5703125" customWidth="1"/>
    <col min="13589" max="13595" width="9.140625" customWidth="1"/>
    <col min="13824" max="13824" width="1.5703125" customWidth="1"/>
    <col min="13825" max="13825" width="21" customWidth="1"/>
    <col min="13826" max="13826" width="13" customWidth="1"/>
    <col min="13827" max="13827" width="11.140625" customWidth="1"/>
    <col min="13828" max="13828" width="13.85546875" customWidth="1"/>
    <col min="13829" max="13829" width="12" customWidth="1"/>
    <col min="13830" max="13830" width="9.140625" customWidth="1"/>
    <col min="13831" max="13831" width="14.42578125" customWidth="1"/>
    <col min="13832" max="13834" width="1.28515625" customWidth="1"/>
    <col min="13835" max="13835" width="9.140625" customWidth="1"/>
    <col min="13836" max="13836" width="9.42578125" customWidth="1"/>
    <col min="13837" max="13838" width="9.140625" customWidth="1"/>
    <col min="13839" max="13839" width="9.42578125" customWidth="1"/>
    <col min="13840" max="13841" width="9.140625" customWidth="1"/>
    <col min="13842" max="13842" width="9.42578125" customWidth="1"/>
    <col min="13843" max="13843" width="9.140625" customWidth="1"/>
    <col min="13844" max="13844" width="1.5703125" customWidth="1"/>
    <col min="13845" max="13851" width="9.140625" customWidth="1"/>
    <col min="14080" max="14080" width="1.5703125" customWidth="1"/>
    <col min="14081" max="14081" width="21" customWidth="1"/>
    <col min="14082" max="14082" width="13" customWidth="1"/>
    <col min="14083" max="14083" width="11.140625" customWidth="1"/>
    <col min="14084" max="14084" width="13.85546875" customWidth="1"/>
    <col min="14085" max="14085" width="12" customWidth="1"/>
    <col min="14086" max="14086" width="9.140625" customWidth="1"/>
    <col min="14087" max="14087" width="14.42578125" customWidth="1"/>
    <col min="14088" max="14090" width="1.28515625" customWidth="1"/>
    <col min="14091" max="14091" width="9.140625" customWidth="1"/>
    <col min="14092" max="14092" width="9.42578125" customWidth="1"/>
    <col min="14093" max="14094" width="9.140625" customWidth="1"/>
    <col min="14095" max="14095" width="9.42578125" customWidth="1"/>
    <col min="14096" max="14097" width="9.140625" customWidth="1"/>
    <col min="14098" max="14098" width="9.42578125" customWidth="1"/>
    <col min="14099" max="14099" width="9.140625" customWidth="1"/>
    <col min="14100" max="14100" width="1.5703125" customWidth="1"/>
    <col min="14101" max="14107" width="9.140625" customWidth="1"/>
    <col min="14336" max="14336" width="1.5703125" customWidth="1"/>
    <col min="14337" max="14337" width="21" customWidth="1"/>
    <col min="14338" max="14338" width="13" customWidth="1"/>
    <col min="14339" max="14339" width="11.140625" customWidth="1"/>
    <col min="14340" max="14340" width="13.85546875" customWidth="1"/>
    <col min="14341" max="14341" width="12" customWidth="1"/>
    <col min="14342" max="14342" width="9.140625" customWidth="1"/>
    <col min="14343" max="14343" width="14.42578125" customWidth="1"/>
    <col min="14344" max="14346" width="1.28515625" customWidth="1"/>
    <col min="14347" max="14347" width="9.140625" customWidth="1"/>
    <col min="14348" max="14348" width="9.42578125" customWidth="1"/>
    <col min="14349" max="14350" width="9.140625" customWidth="1"/>
    <col min="14351" max="14351" width="9.42578125" customWidth="1"/>
    <col min="14352" max="14353" width="9.140625" customWidth="1"/>
    <col min="14354" max="14354" width="9.42578125" customWidth="1"/>
    <col min="14355" max="14355" width="9.140625" customWidth="1"/>
    <col min="14356" max="14356" width="1.5703125" customWidth="1"/>
    <col min="14357" max="14363" width="9.140625" customWidth="1"/>
    <col min="14592" max="14592" width="1.5703125" customWidth="1"/>
    <col min="14593" max="14593" width="21" customWidth="1"/>
    <col min="14594" max="14594" width="13" customWidth="1"/>
    <col min="14595" max="14595" width="11.140625" customWidth="1"/>
    <col min="14596" max="14596" width="13.85546875" customWidth="1"/>
    <col min="14597" max="14597" width="12" customWidth="1"/>
    <col min="14598" max="14598" width="9.140625" customWidth="1"/>
    <col min="14599" max="14599" width="14.42578125" customWidth="1"/>
    <col min="14600" max="14602" width="1.28515625" customWidth="1"/>
    <col min="14603" max="14603" width="9.140625" customWidth="1"/>
    <col min="14604" max="14604" width="9.42578125" customWidth="1"/>
    <col min="14605" max="14606" width="9.140625" customWidth="1"/>
    <col min="14607" max="14607" width="9.42578125" customWidth="1"/>
    <col min="14608" max="14609" width="9.140625" customWidth="1"/>
    <col min="14610" max="14610" width="9.42578125" customWidth="1"/>
    <col min="14611" max="14611" width="9.140625" customWidth="1"/>
    <col min="14612" max="14612" width="1.5703125" customWidth="1"/>
    <col min="14613" max="14619" width="9.140625" customWidth="1"/>
    <col min="14848" max="14848" width="1.5703125" customWidth="1"/>
    <col min="14849" max="14849" width="21" customWidth="1"/>
    <col min="14850" max="14850" width="13" customWidth="1"/>
    <col min="14851" max="14851" width="11.140625" customWidth="1"/>
    <col min="14852" max="14852" width="13.85546875" customWidth="1"/>
    <col min="14853" max="14853" width="12" customWidth="1"/>
    <col min="14854" max="14854" width="9.140625" customWidth="1"/>
    <col min="14855" max="14855" width="14.42578125" customWidth="1"/>
    <col min="14856" max="14858" width="1.28515625" customWidth="1"/>
    <col min="14859" max="14859" width="9.140625" customWidth="1"/>
    <col min="14860" max="14860" width="9.42578125" customWidth="1"/>
    <col min="14861" max="14862" width="9.140625" customWidth="1"/>
    <col min="14863" max="14863" width="9.42578125" customWidth="1"/>
    <col min="14864" max="14865" width="9.140625" customWidth="1"/>
    <col min="14866" max="14866" width="9.42578125" customWidth="1"/>
    <col min="14867" max="14867" width="9.140625" customWidth="1"/>
    <col min="14868" max="14868" width="1.5703125" customWidth="1"/>
    <col min="14869" max="14875" width="9.140625" customWidth="1"/>
    <col min="15104" max="15104" width="1.5703125" customWidth="1"/>
    <col min="15105" max="15105" width="21" customWidth="1"/>
    <col min="15106" max="15106" width="13" customWidth="1"/>
    <col min="15107" max="15107" width="11.140625" customWidth="1"/>
    <col min="15108" max="15108" width="13.85546875" customWidth="1"/>
    <col min="15109" max="15109" width="12" customWidth="1"/>
    <col min="15110" max="15110" width="9.140625" customWidth="1"/>
    <col min="15111" max="15111" width="14.42578125" customWidth="1"/>
    <col min="15112" max="15114" width="1.28515625" customWidth="1"/>
    <col min="15115" max="15115" width="9.140625" customWidth="1"/>
    <col min="15116" max="15116" width="9.42578125" customWidth="1"/>
    <col min="15117" max="15118" width="9.140625" customWidth="1"/>
    <col min="15119" max="15119" width="9.42578125" customWidth="1"/>
    <col min="15120" max="15121" width="9.140625" customWidth="1"/>
    <col min="15122" max="15122" width="9.42578125" customWidth="1"/>
    <col min="15123" max="15123" width="9.140625" customWidth="1"/>
    <col min="15124" max="15124" width="1.5703125" customWidth="1"/>
    <col min="15125" max="15131" width="9.140625" customWidth="1"/>
    <col min="15360" max="15360" width="1.5703125" customWidth="1"/>
    <col min="15361" max="15361" width="21" customWidth="1"/>
    <col min="15362" max="15362" width="13" customWidth="1"/>
    <col min="15363" max="15363" width="11.140625" customWidth="1"/>
    <col min="15364" max="15364" width="13.85546875" customWidth="1"/>
    <col min="15365" max="15365" width="12" customWidth="1"/>
    <col min="15366" max="15366" width="9.140625" customWidth="1"/>
    <col min="15367" max="15367" width="14.42578125" customWidth="1"/>
    <col min="15368" max="15370" width="1.28515625" customWidth="1"/>
    <col min="15371" max="15371" width="9.140625" customWidth="1"/>
    <col min="15372" max="15372" width="9.42578125" customWidth="1"/>
    <col min="15373" max="15374" width="9.140625" customWidth="1"/>
    <col min="15375" max="15375" width="9.42578125" customWidth="1"/>
    <col min="15376" max="15377" width="9.140625" customWidth="1"/>
    <col min="15378" max="15378" width="9.42578125" customWidth="1"/>
    <col min="15379" max="15379" width="9.140625" customWidth="1"/>
    <col min="15380" max="15380" width="1.5703125" customWidth="1"/>
    <col min="15381" max="15387" width="9.140625" customWidth="1"/>
    <col min="15616" max="15616" width="1.5703125" customWidth="1"/>
    <col min="15617" max="15617" width="21" customWidth="1"/>
    <col min="15618" max="15618" width="13" customWidth="1"/>
    <col min="15619" max="15619" width="11.140625" customWidth="1"/>
    <col min="15620" max="15620" width="13.85546875" customWidth="1"/>
    <col min="15621" max="15621" width="12" customWidth="1"/>
    <col min="15622" max="15622" width="9.140625" customWidth="1"/>
    <col min="15623" max="15623" width="14.42578125" customWidth="1"/>
    <col min="15624" max="15626" width="1.28515625" customWidth="1"/>
    <col min="15627" max="15627" width="9.140625" customWidth="1"/>
    <col min="15628" max="15628" width="9.42578125" customWidth="1"/>
    <col min="15629" max="15630" width="9.140625" customWidth="1"/>
    <col min="15631" max="15631" width="9.42578125" customWidth="1"/>
    <col min="15632" max="15633" width="9.140625" customWidth="1"/>
    <col min="15634" max="15634" width="9.42578125" customWidth="1"/>
    <col min="15635" max="15635" width="9.140625" customWidth="1"/>
    <col min="15636" max="15636" width="1.5703125" customWidth="1"/>
    <col min="15637" max="15643" width="9.140625" customWidth="1"/>
    <col min="15872" max="15872" width="1.5703125" customWidth="1"/>
    <col min="15873" max="15873" width="21" customWidth="1"/>
    <col min="15874" max="15874" width="13" customWidth="1"/>
    <col min="15875" max="15875" width="11.140625" customWidth="1"/>
    <col min="15876" max="15876" width="13.85546875" customWidth="1"/>
    <col min="15877" max="15877" width="12" customWidth="1"/>
    <col min="15878" max="15878" width="9.140625" customWidth="1"/>
    <col min="15879" max="15879" width="14.42578125" customWidth="1"/>
    <col min="15880" max="15882" width="1.28515625" customWidth="1"/>
    <col min="15883" max="15883" width="9.140625" customWidth="1"/>
    <col min="15884" max="15884" width="9.42578125" customWidth="1"/>
    <col min="15885" max="15886" width="9.140625" customWidth="1"/>
    <col min="15887" max="15887" width="9.42578125" customWidth="1"/>
    <col min="15888" max="15889" width="9.140625" customWidth="1"/>
    <col min="15890" max="15890" width="9.42578125" customWidth="1"/>
    <col min="15891" max="15891" width="9.140625" customWidth="1"/>
    <col min="15892" max="15892" width="1.5703125" customWidth="1"/>
    <col min="15893" max="15899" width="9.140625" customWidth="1"/>
    <col min="16128" max="16128" width="1.5703125" customWidth="1"/>
    <col min="16129" max="16129" width="21" customWidth="1"/>
    <col min="16130" max="16130" width="13" customWidth="1"/>
    <col min="16131" max="16131" width="11.140625" customWidth="1"/>
    <col min="16132" max="16132" width="13.85546875" customWidth="1"/>
    <col min="16133" max="16133" width="12" customWidth="1"/>
    <col min="16134" max="16134" width="9.140625" customWidth="1"/>
    <col min="16135" max="16135" width="14.42578125" customWidth="1"/>
    <col min="16136" max="16138" width="1.28515625" customWidth="1"/>
    <col min="16139" max="16139" width="9.140625" customWidth="1"/>
    <col min="16140" max="16140" width="9.42578125" customWidth="1"/>
    <col min="16141" max="16142" width="9.140625" customWidth="1"/>
    <col min="16143" max="16143" width="9.42578125" customWidth="1"/>
    <col min="16144" max="16145" width="9.140625" customWidth="1"/>
    <col min="16146" max="16146" width="9.42578125" customWidth="1"/>
    <col min="16147" max="16147" width="9.140625" customWidth="1"/>
    <col min="16148" max="16148" width="1.5703125" customWidth="1"/>
    <col min="16149" max="16155" width="9.140625" customWidth="1"/>
  </cols>
  <sheetData>
    <row r="1" spans="2:28" ht="15.75" thickBot="1">
      <c r="E1" s="3"/>
      <c r="F1" s="3"/>
      <c r="K1" s="4" t="s">
        <v>117</v>
      </c>
      <c r="V1" s="4"/>
      <c r="W1" s="43" t="s">
        <v>14</v>
      </c>
      <c r="X1" s="44">
        <v>1.2</v>
      </c>
      <c r="Y1" s="44" t="s">
        <v>15</v>
      </c>
    </row>
    <row r="2" spans="2:28">
      <c r="C2" s="5" t="s">
        <v>3</v>
      </c>
      <c r="D2" s="87" t="s">
        <v>4</v>
      </c>
      <c r="E2" s="87"/>
      <c r="F2" s="87"/>
      <c r="G2" s="88"/>
      <c r="H2" s="89"/>
      <c r="I2" s="89"/>
      <c r="R2" s="6"/>
      <c r="S2" s="7"/>
      <c r="T2" s="7"/>
      <c r="W2" s="45" t="s">
        <v>17</v>
      </c>
      <c r="X2" s="46">
        <v>0.15</v>
      </c>
      <c r="Y2" s="46" t="s">
        <v>18</v>
      </c>
    </row>
    <row r="3" spans="2:28" ht="15.75" thickBot="1">
      <c r="C3" s="8" t="s">
        <v>5</v>
      </c>
      <c r="D3" s="89" t="s">
        <v>56</v>
      </c>
      <c r="E3" s="89"/>
      <c r="F3" s="89"/>
      <c r="G3" s="90"/>
      <c r="H3" s="89"/>
      <c r="I3" s="89"/>
      <c r="K3" s="9" t="s">
        <v>72</v>
      </c>
      <c r="L3" s="144">
        <v>6</v>
      </c>
      <c r="M3" t="s">
        <v>18</v>
      </c>
      <c r="N3" s="9" t="s">
        <v>61</v>
      </c>
      <c r="O3" s="1">
        <f>L4*L5</f>
        <v>21.6</v>
      </c>
      <c r="P3" t="s">
        <v>64</v>
      </c>
      <c r="Q3" s="9" t="s">
        <v>66</v>
      </c>
      <c r="R3" s="96">
        <v>1005.6</v>
      </c>
      <c r="S3" s="2" t="s">
        <v>67</v>
      </c>
      <c r="T3" s="2"/>
      <c r="V3" s="4" t="s">
        <v>19</v>
      </c>
    </row>
    <row r="4" spans="2:28" ht="16.5" thickTop="1" thickBot="1">
      <c r="C4" s="10" t="s">
        <v>7</v>
      </c>
      <c r="D4" s="91" t="s">
        <v>57</v>
      </c>
      <c r="E4" s="92"/>
      <c r="F4" s="92"/>
      <c r="G4" s="93"/>
      <c r="H4" s="89"/>
      <c r="I4" s="89"/>
      <c r="K4" s="9" t="s">
        <v>73</v>
      </c>
      <c r="L4" s="144">
        <v>8</v>
      </c>
      <c r="M4" t="s">
        <v>18</v>
      </c>
      <c r="N4" s="9" t="s">
        <v>62</v>
      </c>
      <c r="O4" s="1">
        <f>(2*(L3*L4+L3*L5)+L4*L5)</f>
        <v>150</v>
      </c>
      <c r="P4" t="s">
        <v>64</v>
      </c>
      <c r="Q4" s="9" t="s">
        <v>88</v>
      </c>
      <c r="R4" s="84">
        <v>20</v>
      </c>
      <c r="T4" s="2"/>
      <c r="V4" s="52"/>
      <c r="W4" s="53" t="s">
        <v>20</v>
      </c>
      <c r="X4" s="53" t="s">
        <v>21</v>
      </c>
      <c r="Y4" s="53" t="s">
        <v>22</v>
      </c>
      <c r="Z4" s="53" t="s">
        <v>23</v>
      </c>
      <c r="AA4" s="53" t="s">
        <v>24</v>
      </c>
      <c r="AB4" s="54" t="s">
        <v>25</v>
      </c>
    </row>
    <row r="5" spans="2:28">
      <c r="C5" s="11"/>
      <c r="D5" s="12"/>
      <c r="E5" s="12"/>
      <c r="F5" s="12"/>
      <c r="G5" s="12"/>
      <c r="H5" s="12"/>
      <c r="I5" s="12"/>
      <c r="K5" s="9" t="s">
        <v>59</v>
      </c>
      <c r="L5" s="96">
        <v>2.7</v>
      </c>
      <c r="M5" t="s">
        <v>18</v>
      </c>
      <c r="N5" s="9" t="s">
        <v>63</v>
      </c>
      <c r="O5" s="1">
        <f>(2*(L3*L4+L3*L5))</f>
        <v>128.4</v>
      </c>
      <c r="P5" t="s">
        <v>64</v>
      </c>
      <c r="Q5" s="9" t="s">
        <v>103</v>
      </c>
      <c r="R5" s="116">
        <f>RHOstdEplus*(293.15/(273.15+R4))</f>
        <v>1.2040120000000001</v>
      </c>
      <c r="S5" t="s">
        <v>70</v>
      </c>
      <c r="T5" s="2"/>
      <c r="V5" s="56" t="s">
        <v>29</v>
      </c>
      <c r="W5" s="57" t="s">
        <v>30</v>
      </c>
      <c r="X5" s="57" t="s">
        <v>31</v>
      </c>
      <c r="Y5" s="57" t="s">
        <v>32</v>
      </c>
      <c r="Z5" s="57" t="s">
        <v>33</v>
      </c>
      <c r="AA5" s="57" t="s">
        <v>34</v>
      </c>
      <c r="AB5" s="58" t="s">
        <v>35</v>
      </c>
    </row>
    <row r="6" spans="2:28" ht="15.75" thickBot="1">
      <c r="C6" s="13"/>
      <c r="D6" s="13"/>
      <c r="E6" s="13"/>
      <c r="F6" s="13"/>
      <c r="G6" s="13"/>
      <c r="H6" s="13"/>
      <c r="I6" s="13"/>
      <c r="K6" s="9" t="s">
        <v>60</v>
      </c>
      <c r="L6" s="1">
        <f>L3*L4*L5</f>
        <v>129.60000000000002</v>
      </c>
      <c r="M6" t="s">
        <v>65</v>
      </c>
      <c r="Q6" s="9" t="s">
        <v>68</v>
      </c>
      <c r="R6" s="119">
        <v>0.5</v>
      </c>
      <c r="S6" s="2" t="s">
        <v>69</v>
      </c>
      <c r="T6" s="2"/>
      <c r="V6" s="59" t="s">
        <v>36</v>
      </c>
      <c r="W6" s="60"/>
      <c r="X6" s="60"/>
      <c r="Y6" s="86">
        <v>8.2899999999999991</v>
      </c>
      <c r="Z6" s="61">
        <f>1/Y6</f>
        <v>0.12062726176115804</v>
      </c>
      <c r="AA6" s="62"/>
      <c r="AB6" s="63"/>
    </row>
    <row r="7" spans="2:28" ht="19.5">
      <c r="B7" s="9"/>
      <c r="C7" s="14"/>
      <c r="D7" s="15"/>
      <c r="E7" s="16" t="s">
        <v>102</v>
      </c>
      <c r="F7" s="15"/>
      <c r="G7" s="17"/>
      <c r="H7" s="24"/>
      <c r="I7" s="24"/>
      <c r="J7" s="12"/>
      <c r="K7" s="136" t="s">
        <v>106</v>
      </c>
      <c r="L7" s="135">
        <v>1.2040120000000001</v>
      </c>
      <c r="N7" s="175" t="s">
        <v>89</v>
      </c>
      <c r="O7" s="84">
        <f>O3/Z$9</f>
        <v>58.975380815150267</v>
      </c>
      <c r="P7" s="2" t="s">
        <v>6</v>
      </c>
      <c r="Q7" s="98" t="s">
        <v>93</v>
      </c>
      <c r="R7" s="130">
        <f>ACR*Vzone/3600</f>
        <v>1.8000000000000002E-2</v>
      </c>
      <c r="S7" s="117" t="s">
        <v>94</v>
      </c>
      <c r="T7" s="2"/>
      <c r="V7" s="64" t="s">
        <v>37</v>
      </c>
      <c r="W7" s="65">
        <f>$X$1</f>
        <v>1.2</v>
      </c>
      <c r="X7" s="65">
        <f>$X$2</f>
        <v>0.15</v>
      </c>
      <c r="Y7" s="66">
        <f>W7/X7</f>
        <v>8</v>
      </c>
      <c r="Z7" s="66">
        <f>1/Y7</f>
        <v>0.125</v>
      </c>
      <c r="AA7" s="67">
        <v>1400</v>
      </c>
      <c r="AB7" s="68">
        <v>1000</v>
      </c>
    </row>
    <row r="8" spans="2:28" ht="19.5">
      <c r="C8" s="20"/>
      <c r="D8" s="21"/>
      <c r="E8" s="22"/>
      <c r="F8" s="22"/>
      <c r="G8" s="23" t="s">
        <v>1</v>
      </c>
      <c r="H8" s="30"/>
      <c r="I8" s="30"/>
      <c r="J8" s="13"/>
      <c r="N8" s="175" t="s">
        <v>90</v>
      </c>
      <c r="O8" s="84">
        <f>O4/Z$25</f>
        <v>192.69607594054679</v>
      </c>
      <c r="P8" s="2" t="s">
        <v>6</v>
      </c>
      <c r="Q8" s="9" t="s">
        <v>116</v>
      </c>
      <c r="R8" s="116">
        <f>RHOoa*R7</f>
        <v>2.1672216000000005E-2</v>
      </c>
      <c r="S8" s="2" t="s">
        <v>71</v>
      </c>
      <c r="V8" s="69" t="s">
        <v>36</v>
      </c>
      <c r="W8" s="70"/>
      <c r="X8" s="70"/>
      <c r="Y8" s="71">
        <f>Y6</f>
        <v>8.2899999999999991</v>
      </c>
      <c r="Z8" s="71">
        <f>1/Y8</f>
        <v>0.12062726176115804</v>
      </c>
      <c r="AA8" s="72"/>
      <c r="AB8" s="73"/>
    </row>
    <row r="9" spans="2:28" ht="20.25" thickBot="1">
      <c r="C9" s="8"/>
      <c r="D9" s="25"/>
      <c r="E9" s="26" t="s">
        <v>10</v>
      </c>
      <c r="F9" s="27"/>
      <c r="G9" s="28" t="s">
        <v>11</v>
      </c>
      <c r="H9" s="30"/>
      <c r="I9" s="30"/>
      <c r="J9" s="13"/>
      <c r="N9" s="175" t="s">
        <v>91</v>
      </c>
      <c r="O9" s="84">
        <f>O5/Z$25</f>
        <v>164.94784100510805</v>
      </c>
      <c r="P9" s="2" t="s">
        <v>6</v>
      </c>
      <c r="R9" s="152">
        <f>mdot*3600</f>
        <v>78.019977600000018</v>
      </c>
      <c r="S9" s="117" t="s">
        <v>95</v>
      </c>
      <c r="V9" s="74" t="s">
        <v>38</v>
      </c>
      <c r="W9" s="75"/>
      <c r="X9" s="75"/>
      <c r="Y9" s="76">
        <f>1/Z9</f>
        <v>2.7303417044051046</v>
      </c>
      <c r="Z9" s="76">
        <f>SUM(Z6:Z8)</f>
        <v>0.36625452352231608</v>
      </c>
      <c r="AA9" s="77"/>
      <c r="AB9" s="78"/>
    </row>
    <row r="10" spans="2:28" ht="19.5" thickTop="1">
      <c r="C10" s="29"/>
      <c r="D10" s="105" t="s">
        <v>78</v>
      </c>
      <c r="E10" s="106" t="s">
        <v>82</v>
      </c>
      <c r="F10" s="107" t="s">
        <v>86</v>
      </c>
      <c r="G10" s="108" t="s">
        <v>85</v>
      </c>
      <c r="H10" s="30"/>
      <c r="I10" s="30"/>
      <c r="J10" s="24"/>
      <c r="N10" s="98" t="s">
        <v>74</v>
      </c>
      <c r="O10" s="85">
        <f>(2*UAcom+UextB+mdot*Cp_air)/(UAcom+mdot*Cp_air)</f>
        <v>3.7723919984208099</v>
      </c>
      <c r="R10" s="85">
        <f>mdot/RHOoa</f>
        <v>1.8000000000000002E-2</v>
      </c>
      <c r="S10" s="117" t="s">
        <v>94</v>
      </c>
    </row>
    <row r="11" spans="2:28" ht="15.75" thickBot="1">
      <c r="C11" s="8" t="s">
        <v>2</v>
      </c>
      <c r="D11" s="34" t="s">
        <v>12</v>
      </c>
      <c r="E11" s="35" t="s">
        <v>12</v>
      </c>
      <c r="F11" s="36" t="s">
        <v>12</v>
      </c>
      <c r="G11" s="37" t="s">
        <v>13</v>
      </c>
      <c r="H11" s="94"/>
      <c r="I11" s="94"/>
      <c r="J11" s="24"/>
      <c r="K11" s="2"/>
      <c r="L11" s="3"/>
      <c r="M11" s="3"/>
      <c r="Q11" s="159" t="s">
        <v>115</v>
      </c>
      <c r="R11" s="160">
        <f>mdot</f>
        <v>2.1672216000000005E-2</v>
      </c>
      <c r="S11" s="2" t="s">
        <v>71</v>
      </c>
      <c r="V11" s="42" t="s">
        <v>39</v>
      </c>
    </row>
    <row r="12" spans="2:28" ht="16.5" thickTop="1" thickBot="1">
      <c r="C12" s="41" t="s">
        <v>58</v>
      </c>
      <c r="D12" s="82">
        <f>TzoneA</f>
        <v>30.309174225442575</v>
      </c>
      <c r="E12" s="82">
        <f>TzoneB</f>
        <v>23.951997250725622</v>
      </c>
      <c r="F12" s="118">
        <f>TzoneC</f>
        <v>15</v>
      </c>
      <c r="G12" s="83">
        <f>R23</f>
        <v>1600.3957286684556</v>
      </c>
      <c r="H12" s="95"/>
      <c r="I12" s="95"/>
      <c r="J12" s="24"/>
      <c r="K12" s="2"/>
      <c r="L12" s="3"/>
      <c r="M12" s="3"/>
      <c r="N12" s="18" t="s">
        <v>8</v>
      </c>
      <c r="O12" s="97">
        <v>20</v>
      </c>
      <c r="P12" s="19" t="s">
        <v>9</v>
      </c>
      <c r="Q12" s="159"/>
      <c r="R12" s="162"/>
      <c r="S12" s="150"/>
      <c r="T12" s="150"/>
      <c r="U12" s="150"/>
      <c r="V12" s="52"/>
      <c r="W12" s="53" t="s">
        <v>20</v>
      </c>
      <c r="X12" s="53" t="s">
        <v>21</v>
      </c>
      <c r="Y12" s="53" t="s">
        <v>22</v>
      </c>
      <c r="Z12" s="53" t="s">
        <v>23</v>
      </c>
      <c r="AA12" s="53" t="s">
        <v>24</v>
      </c>
      <c r="AB12" s="54" t="s">
        <v>25</v>
      </c>
    </row>
    <row r="13" spans="2:28">
      <c r="J13" s="13"/>
      <c r="K13" s="2"/>
      <c r="L13" s="3"/>
      <c r="M13" s="3"/>
      <c r="V13" s="56" t="s">
        <v>29</v>
      </c>
      <c r="W13" s="57" t="s">
        <v>40</v>
      </c>
      <c r="X13" s="57" t="s">
        <v>41</v>
      </c>
      <c r="Y13" s="57" t="s">
        <v>42</v>
      </c>
      <c r="Z13" s="57" t="s">
        <v>43</v>
      </c>
      <c r="AA13" s="57" t="s">
        <v>44</v>
      </c>
      <c r="AB13" s="58" t="s">
        <v>45</v>
      </c>
    </row>
    <row r="14" spans="2:28" ht="15.75" thickBot="1">
      <c r="J14" s="13"/>
      <c r="U14" s="42"/>
      <c r="V14" s="59" t="s">
        <v>36</v>
      </c>
      <c r="W14" s="61"/>
      <c r="X14" s="61"/>
      <c r="Y14" s="61">
        <f>Y6/5.678</f>
        <v>1.4600211342021838</v>
      </c>
      <c r="Z14" s="61">
        <f>Z6*5.678</f>
        <v>0.68492159227985538</v>
      </c>
      <c r="AA14" s="62"/>
      <c r="AB14" s="63"/>
    </row>
    <row r="15" spans="2:28" ht="15.75" thickTop="1">
      <c r="J15" s="13"/>
      <c r="K15" s="31"/>
      <c r="L15" s="32"/>
      <c r="M15" s="172">
        <f>L18+L22</f>
        <v>-74.470824458025831</v>
      </c>
      <c r="N15" s="31"/>
      <c r="O15" s="32"/>
      <c r="P15" s="173">
        <f>O18+O22</f>
        <v>-37.206830675114617</v>
      </c>
      <c r="Q15" s="161">
        <f>R27-O27</f>
        <v>0</v>
      </c>
      <c r="R15" s="32" t="s">
        <v>71</v>
      </c>
      <c r="S15" s="33"/>
      <c r="U15" s="42"/>
      <c r="V15" s="64" t="s">
        <v>37</v>
      </c>
      <c r="W15" s="66">
        <f>W7/1.731</f>
        <v>0.6932409012131715</v>
      </c>
      <c r="X15" s="66">
        <f>X7/0.3048</f>
        <v>0.49212598425196846</v>
      </c>
      <c r="Y15" s="66">
        <f>Y7/5.678</f>
        <v>1.4089468122578372</v>
      </c>
      <c r="Z15" s="66">
        <f>Z7*5.678</f>
        <v>0.70974999999999999</v>
      </c>
      <c r="AA15" s="67">
        <f>AA7/16</f>
        <v>87.5</v>
      </c>
      <c r="AB15" s="79">
        <f>AB7/4184</f>
        <v>0.23900573613766729</v>
      </c>
    </row>
    <row r="16" spans="2:28" ht="15.75">
      <c r="J16" s="13"/>
      <c r="K16" s="100"/>
      <c r="M16" s="155"/>
      <c r="N16" s="100"/>
      <c r="P16" s="155"/>
      <c r="Q16" s="165"/>
      <c r="S16" s="40"/>
      <c r="U16" s="42"/>
      <c r="V16" s="69" t="s">
        <v>36</v>
      </c>
      <c r="W16" s="71"/>
      <c r="X16" s="71"/>
      <c r="Y16" s="66">
        <f>Y8/5.678</f>
        <v>1.4600211342021838</v>
      </c>
      <c r="Z16" s="66">
        <f>Z8*5.678</f>
        <v>0.68492159227985538</v>
      </c>
      <c r="AA16" s="72"/>
      <c r="AB16" s="73"/>
    </row>
    <row r="17" spans="10:28" ht="19.5" thickBot="1">
      <c r="K17" s="99" t="s">
        <v>75</v>
      </c>
      <c r="L17" s="171">
        <f>UAextAC*(Tout-TzoneA)</f>
        <v>-1986.5374194302101</v>
      </c>
      <c r="M17" s="109" t="s">
        <v>0</v>
      </c>
      <c r="N17" s="99" t="s">
        <v>79</v>
      </c>
      <c r="O17" s="168">
        <f>UextB*(Tout-TzoneB)</f>
        <v>-651.87341416531399</v>
      </c>
      <c r="P17" s="109" t="s">
        <v>0</v>
      </c>
      <c r="Q17" s="99" t="s">
        <v>83</v>
      </c>
      <c r="R17" s="164">
        <f>UAextAC*(Tout-TzoneC)</f>
        <v>963.4803797027339</v>
      </c>
      <c r="S17" s="109" t="s">
        <v>0</v>
      </c>
      <c r="U17" s="42"/>
      <c r="V17" s="74" t="s">
        <v>38</v>
      </c>
      <c r="W17" s="76"/>
      <c r="X17" s="76"/>
      <c r="Y17" s="80">
        <f>Y9/5.678</f>
        <v>0.48086328009952528</v>
      </c>
      <c r="Z17" s="80">
        <f>Z9*5.678</f>
        <v>2.0795931845597107</v>
      </c>
      <c r="AA17" s="77"/>
      <c r="AB17" s="78"/>
    </row>
    <row r="18" spans="10:28" ht="16.5" thickTop="1">
      <c r="K18" s="100"/>
      <c r="L18" s="170">
        <f>L17*8760*3600/1000000000</f>
        <v>-62.647444059151105</v>
      </c>
      <c r="M18" s="110" t="s">
        <v>87</v>
      </c>
      <c r="N18" s="103"/>
      <c r="O18" s="170">
        <f>O17*8760*3600/1000000000</f>
        <v>-20.557479989117343</v>
      </c>
      <c r="P18" s="103" t="s">
        <v>87</v>
      </c>
      <c r="Q18" s="100"/>
      <c r="R18" s="170">
        <f>R17*8760*3600/1000000000</f>
        <v>30.384317254305415</v>
      </c>
      <c r="S18" s="110" t="s">
        <v>87</v>
      </c>
      <c r="U18" s="42"/>
    </row>
    <row r="19" spans="10:28" ht="20.25" thickBot="1">
      <c r="K19" s="101" t="s">
        <v>76</v>
      </c>
      <c r="L19" s="97">
        <v>2500</v>
      </c>
      <c r="M19" s="111" t="s">
        <v>0</v>
      </c>
      <c r="N19" s="101" t="s">
        <v>80</v>
      </c>
      <c r="O19" s="97">
        <v>1000</v>
      </c>
      <c r="P19" s="112" t="s">
        <v>0</v>
      </c>
      <c r="Q19" s="101" t="s">
        <v>84</v>
      </c>
      <c r="R19" s="97">
        <v>0</v>
      </c>
      <c r="S19" s="111" t="s">
        <v>0</v>
      </c>
      <c r="U19" s="42"/>
      <c r="V19" s="4" t="s">
        <v>46</v>
      </c>
    </row>
    <row r="20" spans="10:28" ht="16.5" thickTop="1">
      <c r="K20" s="100"/>
      <c r="L20" s="169">
        <f>L19*8760*3600/1000000000</f>
        <v>78.84</v>
      </c>
      <c r="M20" s="110" t="s">
        <v>87</v>
      </c>
      <c r="N20" s="103"/>
      <c r="O20" s="169">
        <f>O19*8760*3600/1000000000</f>
        <v>31.536000000000001</v>
      </c>
      <c r="P20" s="103" t="s">
        <v>87</v>
      </c>
      <c r="Q20" s="100"/>
      <c r="R20" s="103"/>
      <c r="S20" s="110"/>
      <c r="U20" s="42"/>
      <c r="V20" s="52"/>
      <c r="W20" s="53" t="s">
        <v>20</v>
      </c>
      <c r="X20" s="53" t="s">
        <v>21</v>
      </c>
      <c r="Y20" s="53" t="s">
        <v>22</v>
      </c>
      <c r="Z20" s="53" t="s">
        <v>23</v>
      </c>
      <c r="AA20" s="53" t="s">
        <v>24</v>
      </c>
      <c r="AB20" s="54" t="s">
        <v>25</v>
      </c>
    </row>
    <row r="21" spans="10:28" ht="18.75">
      <c r="K21" s="99" t="s">
        <v>77</v>
      </c>
      <c r="L21" s="168">
        <f>UAcom*(TzoneB-TzoneA)</f>
        <v>-374.9169329932372</v>
      </c>
      <c r="M21" s="109" t="s">
        <v>0</v>
      </c>
      <c r="N21" s="99" t="s">
        <v>81</v>
      </c>
      <c r="O21" s="168">
        <f>UAcom*(TzoneC-TzoneB)</f>
        <v>-527.94744691772178</v>
      </c>
      <c r="P21" s="109" t="s">
        <v>0</v>
      </c>
      <c r="Q21" s="100"/>
      <c r="R21" s="103"/>
      <c r="S21" s="110"/>
      <c r="U21" s="42"/>
      <c r="V21" s="56" t="s">
        <v>29</v>
      </c>
      <c r="W21" s="57" t="s">
        <v>30</v>
      </c>
      <c r="X21" s="57" t="s">
        <v>31</v>
      </c>
      <c r="Y21" s="57" t="s">
        <v>32</v>
      </c>
      <c r="Z21" s="57" t="s">
        <v>33</v>
      </c>
      <c r="AA21" s="57" t="s">
        <v>34</v>
      </c>
      <c r="AB21" s="58" t="s">
        <v>35</v>
      </c>
    </row>
    <row r="22" spans="10:28" ht="15.75">
      <c r="K22" s="100"/>
      <c r="L22" s="170">
        <f>L21*8760*3600/1000000000</f>
        <v>-11.823380398874729</v>
      </c>
      <c r="M22" s="110" t="s">
        <v>87</v>
      </c>
      <c r="N22" s="104"/>
      <c r="O22" s="170">
        <f>O21*8760*3600/1000000000</f>
        <v>-16.649350685997273</v>
      </c>
      <c r="P22" s="104" t="s">
        <v>87</v>
      </c>
      <c r="Q22" s="101" t="s">
        <v>16</v>
      </c>
      <c r="R22" s="97">
        <v>15</v>
      </c>
      <c r="S22" s="114" t="s">
        <v>9</v>
      </c>
      <c r="U22" s="42"/>
      <c r="V22" s="59" t="s">
        <v>36</v>
      </c>
      <c r="W22" s="60"/>
      <c r="X22" s="60"/>
      <c r="Y22" s="61">
        <f>Y6</f>
        <v>8.2899999999999991</v>
      </c>
      <c r="Z22" s="61">
        <f>1/Y22</f>
        <v>0.12062726176115804</v>
      </c>
      <c r="AA22" s="62"/>
      <c r="AB22" s="63"/>
    </row>
    <row r="23" spans="10:28" ht="18.75">
      <c r="K23" s="102" t="s">
        <v>78</v>
      </c>
      <c r="L23" s="190">
        <f>(qintB+TzoneC*(UAcom+mdot*Cp_air)+Tout*UextB+(qintA+Tout*UAextAC)*Rat)/((UAcom+UAextAC+mdot*Cp_air)*Rat-UAcom)</f>
        <v>30.309174225442575</v>
      </c>
      <c r="M23" s="109" t="s">
        <v>9</v>
      </c>
      <c r="N23" s="102" t="s">
        <v>82</v>
      </c>
      <c r="O23" s="190">
        <f>(-qintA+TzoneA*(UAcom+UAextAC+mdot*Cp_air)-UAextAC*Tout)/(UAcom+mdot*Cp_air)</f>
        <v>23.951997250725622</v>
      </c>
      <c r="P23" s="113" t="s">
        <v>9</v>
      </c>
      <c r="Q23" s="102" t="s">
        <v>85</v>
      </c>
      <c r="R23" s="164">
        <f>qintC-(UAcom+UAextAC)*TzoneC+UAextAC*Tout+UAcom*TzoneB+mdot_OAtoC*Cp_air*(Tout-TzoneC)</f>
        <v>1600.3957286684556</v>
      </c>
      <c r="S23" s="109" t="s">
        <v>0</v>
      </c>
      <c r="V23" s="64" t="s">
        <v>47</v>
      </c>
      <c r="W23" s="65">
        <v>0.24</v>
      </c>
      <c r="X23" s="65">
        <v>0.15</v>
      </c>
      <c r="Y23" s="66">
        <f>W23/X23</f>
        <v>1.6</v>
      </c>
      <c r="Z23" s="66">
        <f>1/Y23</f>
        <v>0.625</v>
      </c>
      <c r="AA23" s="67">
        <v>1400</v>
      </c>
      <c r="AB23" s="68">
        <v>1000</v>
      </c>
    </row>
    <row r="24" spans="10:28" ht="15.75">
      <c r="K24" s="38"/>
      <c r="N24" s="38"/>
      <c r="P24" s="104"/>
      <c r="Q24" s="47"/>
      <c r="R24" s="189">
        <f>R23*8760*3600/1000000000</f>
        <v>50.470079699288419</v>
      </c>
      <c r="S24" s="174" t="s">
        <v>87</v>
      </c>
      <c r="U24" s="133"/>
      <c r="V24" s="69" t="s">
        <v>48</v>
      </c>
      <c r="W24" s="70"/>
      <c r="X24" s="70"/>
      <c r="Y24" s="86">
        <f>X27</f>
        <v>30.487220000000004</v>
      </c>
      <c r="Z24" s="71">
        <f>1/Y24</f>
        <v>3.2800629247271472E-2</v>
      </c>
      <c r="AA24" s="72"/>
      <c r="AB24" s="73"/>
    </row>
    <row r="25" spans="10:28" ht="16.5" thickBot="1">
      <c r="K25" s="38"/>
      <c r="L25" s="167">
        <f>L27*Cp_air*(TzoneB-TzoneA)</f>
        <v>-138.5456475765516</v>
      </c>
      <c r="M25" s="154" t="s">
        <v>0</v>
      </c>
      <c r="N25" s="38"/>
      <c r="O25" s="167">
        <f>O27*Cp_air*(TzoneC-TzoneB)</f>
        <v>-195.096071910207</v>
      </c>
      <c r="P25" s="154" t="s">
        <v>0</v>
      </c>
      <c r="Q25" s="47"/>
      <c r="R25" s="165">
        <f>mdot_OAtoC*Cp_air*(Tout-TzoneC)</f>
        <v>108.96790204800001</v>
      </c>
      <c r="S25" s="154" t="s">
        <v>0</v>
      </c>
      <c r="V25" s="74" t="s">
        <v>38</v>
      </c>
      <c r="W25" s="75"/>
      <c r="X25" s="75"/>
      <c r="Y25" s="76">
        <f>1/Z25</f>
        <v>1.2846405062703119</v>
      </c>
      <c r="Z25" s="76">
        <f>SUM(Z22:Z24)</f>
        <v>0.77842789100842946</v>
      </c>
      <c r="AA25" s="77"/>
      <c r="AB25" s="78"/>
    </row>
    <row r="26" spans="10:28" ht="16.5" thickTop="1">
      <c r="J26" s="150"/>
      <c r="K26" s="38"/>
      <c r="L26" s="166">
        <f>L25*8760*3600/1000000000</f>
        <v>-4.3691755419741316</v>
      </c>
      <c r="M26" s="154" t="s">
        <v>87</v>
      </c>
      <c r="N26" s="38"/>
      <c r="O26" s="166">
        <f>O25*8760*3600/1000000000</f>
        <v>-6.1525497237602886</v>
      </c>
      <c r="P26" s="154" t="s">
        <v>87</v>
      </c>
      <c r="Q26" s="47"/>
      <c r="R26" s="166">
        <f>R25*8760*3600/1000000000</f>
        <v>3.4364117589857286</v>
      </c>
      <c r="S26" s="154" t="s">
        <v>87</v>
      </c>
      <c r="T26" s="150"/>
      <c r="U26" s="150"/>
      <c r="V26" s="42" t="s">
        <v>49</v>
      </c>
      <c r="W26" s="42" t="s">
        <v>50</v>
      </c>
      <c r="X26" s="42">
        <v>4.3</v>
      </c>
      <c r="Y26" s="42" t="s">
        <v>51</v>
      </c>
      <c r="Z26" s="42"/>
      <c r="AA26" s="42"/>
    </row>
    <row r="27" spans="10:28">
      <c r="K27" s="38"/>
      <c r="L27" s="163">
        <f>R27</f>
        <v>2.1672216000000005E-2</v>
      </c>
      <c r="M27" t="s">
        <v>71</v>
      </c>
      <c r="N27" s="38"/>
      <c r="O27" s="163">
        <f>R27</f>
        <v>2.1672216000000005E-2</v>
      </c>
      <c r="P27" t="s">
        <v>71</v>
      </c>
      <c r="Q27" s="47"/>
      <c r="R27" s="176">
        <f>mdot_OAtoC</f>
        <v>2.1672216000000005E-2</v>
      </c>
      <c r="S27" s="129" t="s">
        <v>71</v>
      </c>
      <c r="V27" s="42"/>
      <c r="W27" s="42" t="s">
        <v>52</v>
      </c>
      <c r="X27" s="42">
        <f>12.49+4.065*X26+0.028*X26^2</f>
        <v>30.487220000000004</v>
      </c>
      <c r="Y27" s="42" t="s">
        <v>53</v>
      </c>
      <c r="Z27" s="42" t="s">
        <v>54</v>
      </c>
      <c r="AA27" s="42"/>
      <c r="AB27" s="42"/>
    </row>
    <row r="28" spans="10:28" ht="15.75" thickBot="1">
      <c r="K28" s="49"/>
      <c r="L28" s="146">
        <f>L27*3600</f>
        <v>78.019977600000018</v>
      </c>
      <c r="M28" s="50"/>
      <c r="N28" s="49"/>
      <c r="O28" s="146">
        <f>O27*3600</f>
        <v>78.019977600000018</v>
      </c>
      <c r="P28" s="50"/>
      <c r="Q28" s="49"/>
      <c r="R28" s="146">
        <f>R27*3600</f>
        <v>78.019977600000018</v>
      </c>
      <c r="S28" s="51" t="s">
        <v>95</v>
      </c>
      <c r="AB28" s="42"/>
    </row>
    <row r="29" spans="10:28" ht="16.5" thickTop="1" thickBot="1">
      <c r="K29" s="39"/>
      <c r="L29" s="55" t="s">
        <v>26</v>
      </c>
      <c r="M29" s="55"/>
      <c r="N29" s="55"/>
      <c r="O29" s="55" t="s">
        <v>27</v>
      </c>
      <c r="P29" s="55"/>
      <c r="Q29" s="55"/>
      <c r="R29" s="55" t="s">
        <v>28</v>
      </c>
      <c r="S29" s="39"/>
      <c r="V29" s="42" t="s">
        <v>39</v>
      </c>
      <c r="W29" s="42"/>
      <c r="X29" s="42"/>
      <c r="Y29" s="42"/>
      <c r="Z29" s="42"/>
      <c r="AA29" s="42"/>
      <c r="AB29" s="42"/>
    </row>
    <row r="30" spans="10:28" ht="15.75" thickTop="1">
      <c r="J30" s="150"/>
      <c r="K30" s="188" t="s">
        <v>122</v>
      </c>
      <c r="L30" s="55"/>
      <c r="M30" s="55"/>
      <c r="N30" s="55"/>
      <c r="O30" s="55"/>
      <c r="P30" s="55"/>
      <c r="Q30" s="55"/>
      <c r="R30" s="55"/>
      <c r="S30" s="153"/>
      <c r="V30" s="81"/>
      <c r="W30" s="53" t="s">
        <v>20</v>
      </c>
      <c r="X30" s="53" t="s">
        <v>21</v>
      </c>
      <c r="Y30" s="53" t="s">
        <v>22</v>
      </c>
      <c r="Z30" s="53" t="s">
        <v>23</v>
      </c>
      <c r="AA30" s="53" t="s">
        <v>24</v>
      </c>
      <c r="AB30" s="54" t="s">
        <v>25</v>
      </c>
    </row>
    <row r="31" spans="10:28">
      <c r="J31" s="150"/>
      <c r="K31" s="178" t="s">
        <v>118</v>
      </c>
      <c r="L31" s="179"/>
      <c r="M31" s="179"/>
      <c r="N31" s="179"/>
      <c r="O31" s="179"/>
      <c r="P31" s="179"/>
      <c r="Q31" s="180"/>
      <c r="R31" s="179"/>
      <c r="S31" s="181"/>
      <c r="V31" s="56" t="s">
        <v>29</v>
      </c>
      <c r="W31" s="57" t="s">
        <v>40</v>
      </c>
      <c r="X31" s="57" t="s">
        <v>41</v>
      </c>
      <c r="Y31" s="57" t="s">
        <v>42</v>
      </c>
      <c r="Z31" s="57" t="s">
        <v>43</v>
      </c>
      <c r="AA31" s="57" t="s">
        <v>44</v>
      </c>
      <c r="AB31" s="58" t="s">
        <v>45</v>
      </c>
    </row>
    <row r="32" spans="10:28">
      <c r="J32" s="150"/>
      <c r="K32" s="182" t="s">
        <v>123</v>
      </c>
      <c r="L32" s="57"/>
      <c r="M32" s="57"/>
      <c r="N32" s="57"/>
      <c r="O32" s="57"/>
      <c r="P32" s="57"/>
      <c r="Q32" s="57"/>
      <c r="R32" s="57"/>
      <c r="S32" s="183"/>
      <c r="T32" s="150"/>
      <c r="U32" s="150"/>
      <c r="V32" s="59" t="s">
        <v>36</v>
      </c>
      <c r="W32" s="61"/>
      <c r="X32" s="61"/>
      <c r="Y32" s="61">
        <f>Y22/5.678</f>
        <v>1.4600211342021838</v>
      </c>
      <c r="Z32" s="61">
        <f>Z22*5.678</f>
        <v>0.68492159227985538</v>
      </c>
      <c r="AA32" s="62"/>
      <c r="AB32" s="63"/>
    </row>
    <row r="33" spans="10:28">
      <c r="J33" s="150"/>
      <c r="K33" s="182" t="s">
        <v>119</v>
      </c>
      <c r="L33" s="57"/>
      <c r="M33" s="57"/>
      <c r="N33" s="57"/>
      <c r="O33" s="57"/>
      <c r="P33" s="57"/>
      <c r="Q33" s="57"/>
      <c r="R33" s="57"/>
      <c r="S33" s="183"/>
      <c r="U33" s="150"/>
      <c r="V33" s="141" t="s">
        <v>47</v>
      </c>
      <c r="W33" s="142">
        <f>W23/1.731</f>
        <v>0.13864818024263431</v>
      </c>
      <c r="X33" s="142">
        <f>X23/0.3048</f>
        <v>0.49212598425196846</v>
      </c>
      <c r="Y33" s="142">
        <f>Y23/5.678</f>
        <v>0.28178936245156749</v>
      </c>
      <c r="Z33" s="142">
        <f>Z23*5.678</f>
        <v>3.5487500000000001</v>
      </c>
      <c r="AA33" s="138">
        <f>AA23/16</f>
        <v>87.5</v>
      </c>
      <c r="AB33" s="139">
        <f>AB23/4184</f>
        <v>0.23900573613766729</v>
      </c>
    </row>
    <row r="34" spans="10:28">
      <c r="J34" s="150"/>
      <c r="K34" s="184" t="s">
        <v>120</v>
      </c>
      <c r="L34" s="57"/>
      <c r="M34" s="57"/>
      <c r="N34" s="57"/>
      <c r="O34" s="57"/>
      <c r="P34" s="57"/>
      <c r="Q34" s="57"/>
      <c r="R34" s="57"/>
      <c r="S34" s="183"/>
      <c r="V34" s="69" t="s">
        <v>48</v>
      </c>
      <c r="W34" s="71"/>
      <c r="X34" s="71"/>
      <c r="Y34" s="66">
        <f>Y24/5.678</f>
        <v>5.3693589292004233</v>
      </c>
      <c r="Z34" s="66">
        <f>Z24*5.678</f>
        <v>0.18624197286600741</v>
      </c>
      <c r="AA34" s="72"/>
      <c r="AB34" s="73"/>
    </row>
    <row r="35" spans="10:28" ht="15.75" thickBot="1">
      <c r="K35" s="184" t="s">
        <v>124</v>
      </c>
      <c r="L35" s="57"/>
      <c r="M35" s="57"/>
      <c r="N35" s="57"/>
      <c r="O35" s="57"/>
      <c r="P35" s="57"/>
      <c r="Q35" s="57"/>
      <c r="R35" s="57"/>
      <c r="S35" s="183"/>
      <c r="V35" s="74" t="s">
        <v>38</v>
      </c>
      <c r="W35" s="76"/>
      <c r="X35" s="76"/>
      <c r="Y35" s="80">
        <f>Y25/5.678</f>
        <v>0.22624876827585627</v>
      </c>
      <c r="Z35" s="80">
        <f>Z25*5.678</f>
        <v>4.4199135651458628</v>
      </c>
      <c r="AA35" s="77"/>
      <c r="AB35" s="78"/>
    </row>
    <row r="36" spans="10:28" ht="15.75" thickTop="1">
      <c r="K36" s="184" t="s">
        <v>125</v>
      </c>
      <c r="L36" s="57"/>
      <c r="M36" s="57"/>
      <c r="N36" s="57"/>
      <c r="O36" s="57"/>
      <c r="P36" s="57"/>
      <c r="Q36" s="57"/>
      <c r="R36" s="57"/>
      <c r="S36" s="183"/>
      <c r="Z36" s="148" t="s">
        <v>55</v>
      </c>
    </row>
    <row r="37" spans="10:28">
      <c r="J37" s="150"/>
      <c r="K37" s="184" t="s">
        <v>126</v>
      </c>
      <c r="L37" s="57"/>
      <c r="M37" s="57"/>
      <c r="N37" s="57"/>
      <c r="O37" s="57"/>
      <c r="P37" s="57"/>
      <c r="Q37" s="57"/>
      <c r="R37" s="57"/>
      <c r="S37" s="183"/>
    </row>
    <row r="38" spans="10:28">
      <c r="K38" s="185" t="s">
        <v>121</v>
      </c>
      <c r="L38" s="186"/>
      <c r="M38" s="186"/>
      <c r="N38" s="186"/>
      <c r="O38" s="186"/>
      <c r="P38" s="186"/>
      <c r="Q38" s="186"/>
      <c r="R38" s="186"/>
      <c r="S38" s="187"/>
      <c r="V38" s="151"/>
      <c r="W38" s="151"/>
      <c r="X38" s="151"/>
      <c r="Y38" s="151"/>
      <c r="Z38" s="151"/>
      <c r="AA38" s="151"/>
      <c r="AB38" s="151"/>
    </row>
    <row r="39" spans="10:28" ht="15.75" thickBot="1">
      <c r="J39" s="150"/>
      <c r="K39" s="177"/>
      <c r="L39" s="57"/>
      <c r="M39" s="57"/>
      <c r="N39" s="57"/>
      <c r="O39" s="57"/>
      <c r="P39" s="57"/>
      <c r="Q39" s="57"/>
      <c r="R39" s="57"/>
      <c r="S39" s="153"/>
    </row>
    <row r="40" spans="10:28" s="151" customFormat="1" ht="15.75" customHeight="1">
      <c r="J40" s="150"/>
      <c r="K40" s="150"/>
      <c r="L40" s="195" t="s">
        <v>101</v>
      </c>
      <c r="M40" s="196"/>
      <c r="N40" s="196"/>
      <c r="O40" s="196"/>
      <c r="P40" s="196"/>
      <c r="Q40" s="196"/>
      <c r="R40" s="197"/>
      <c r="S40" s="153"/>
      <c r="T40"/>
      <c r="U40"/>
      <c r="V40"/>
      <c r="W40"/>
      <c r="X40"/>
      <c r="Y40"/>
      <c r="Z40"/>
      <c r="AA40"/>
      <c r="AB40"/>
    </row>
    <row r="41" spans="10:28" ht="18.75">
      <c r="J41" s="150"/>
      <c r="K41" s="150"/>
      <c r="L41" s="143"/>
      <c r="M41" s="145"/>
      <c r="N41" s="145"/>
      <c r="O41" s="122" t="s">
        <v>92</v>
      </c>
      <c r="P41" s="147">
        <f>R7</f>
        <v>1.8000000000000002E-2</v>
      </c>
      <c r="Q41" s="153" t="s">
        <v>94</v>
      </c>
      <c r="R41" s="149"/>
      <c r="S41" s="153"/>
    </row>
    <row r="42" spans="10:28">
      <c r="J42" s="150"/>
      <c r="K42" s="150"/>
      <c r="L42" s="120"/>
      <c r="M42" s="153"/>
      <c r="N42" s="153"/>
      <c r="O42" s="150"/>
      <c r="P42" s="132">
        <f>ACR</f>
        <v>0.5</v>
      </c>
      <c r="Q42" s="153" t="s">
        <v>69</v>
      </c>
      <c r="R42" s="121"/>
      <c r="S42" s="153"/>
    </row>
    <row r="43" spans="10:28">
      <c r="J43" s="150"/>
      <c r="K43" s="150"/>
      <c r="L43" s="120"/>
      <c r="M43" s="153"/>
      <c r="N43" s="153"/>
      <c r="O43" s="150"/>
      <c r="P43" s="140" t="s">
        <v>70</v>
      </c>
      <c r="Q43" s="150"/>
      <c r="R43" s="121"/>
      <c r="S43" s="153"/>
      <c r="T43" s="151"/>
    </row>
    <row r="44" spans="10:28">
      <c r="J44" s="150"/>
      <c r="K44" s="150"/>
      <c r="L44" s="123"/>
      <c r="M44" s="153"/>
      <c r="N44" s="153"/>
      <c r="O44" s="18" t="s">
        <v>96</v>
      </c>
      <c r="P44" s="134">
        <f>RHOstdEplus*(293.15/(273.15+TzoneC))</f>
        <v>1.2249041048065243</v>
      </c>
      <c r="Q44" s="150"/>
      <c r="R44" s="121"/>
      <c r="S44" s="153"/>
      <c r="U44" s="151"/>
    </row>
    <row r="45" spans="10:28">
      <c r="J45" s="150"/>
      <c r="K45" s="150"/>
      <c r="L45" s="124"/>
      <c r="M45" s="150"/>
      <c r="N45" s="48"/>
      <c r="O45" s="18" t="s">
        <v>97</v>
      </c>
      <c r="P45" s="134">
        <f>RHOstdEplus*(293.15/(273.15+TzoneB))</f>
        <v>1.18799644925355</v>
      </c>
      <c r="Q45" s="153"/>
      <c r="R45" s="121"/>
      <c r="S45" s="153"/>
    </row>
    <row r="46" spans="10:28">
      <c r="J46" s="150"/>
      <c r="K46" s="150"/>
      <c r="L46" s="124"/>
      <c r="M46" s="48"/>
      <c r="N46" s="48"/>
      <c r="O46" s="18" t="s">
        <v>98</v>
      </c>
      <c r="P46" s="134">
        <f>RHOstdEplus*(293.15/(273.15+TzoneA))</f>
        <v>1.1631090696166784</v>
      </c>
      <c r="Q46" s="153"/>
      <c r="R46" s="121"/>
      <c r="S46" s="153"/>
    </row>
    <row r="47" spans="10:28">
      <c r="J47" s="150"/>
      <c r="K47" s="150"/>
      <c r="L47" s="124"/>
      <c r="M47" s="150"/>
      <c r="N47" s="48"/>
      <c r="O47" s="122" t="s">
        <v>104</v>
      </c>
      <c r="P47" s="150"/>
      <c r="Q47" s="153"/>
      <c r="R47" s="121"/>
      <c r="S47" s="153"/>
    </row>
    <row r="48" spans="10:28" ht="20.25">
      <c r="J48" s="150"/>
      <c r="K48" s="151"/>
      <c r="L48" s="198" t="s">
        <v>105</v>
      </c>
      <c r="M48" s="199"/>
      <c r="N48" s="48"/>
      <c r="O48" s="98" t="s">
        <v>99</v>
      </c>
      <c r="P48" s="193">
        <f>O27/RHO_B</f>
        <v>1.8242660585069289E-2</v>
      </c>
      <c r="Q48" s="153" t="s">
        <v>94</v>
      </c>
      <c r="R48" s="121"/>
      <c r="S48" s="153"/>
    </row>
    <row r="49" spans="3:19" ht="15" customHeight="1">
      <c r="J49" s="150"/>
      <c r="K49" s="150"/>
      <c r="L49" s="191"/>
      <c r="M49" s="192"/>
      <c r="N49" s="48"/>
      <c r="O49" s="98" t="s">
        <v>100</v>
      </c>
      <c r="P49" s="193">
        <f>L27/RHO_A</f>
        <v>1.8633004045908126E-2</v>
      </c>
      <c r="Q49" s="153" t="s">
        <v>94</v>
      </c>
      <c r="R49" s="121"/>
      <c r="S49" s="153"/>
    </row>
    <row r="50" spans="3:19" ht="15" customHeight="1" thickBot="1">
      <c r="J50" s="150"/>
      <c r="K50" s="150"/>
      <c r="L50" s="125"/>
      <c r="M50" s="126"/>
      <c r="N50" s="126"/>
      <c r="O50" s="127"/>
      <c r="P50" s="127"/>
      <c r="Q50" s="127"/>
      <c r="R50" s="128"/>
      <c r="S50" s="153"/>
    </row>
    <row r="51" spans="3:19">
      <c r="J51" s="150"/>
      <c r="K51" s="150"/>
      <c r="L51" s="150"/>
      <c r="M51" s="150"/>
      <c r="N51" s="150"/>
      <c r="O51" s="151"/>
      <c r="P51" s="137"/>
      <c r="Q51" s="151"/>
      <c r="R51" s="151"/>
      <c r="S51" s="153"/>
    </row>
    <row r="52" spans="3:19">
      <c r="J52" s="150"/>
      <c r="K52" s="150"/>
      <c r="L52" s="135" t="s">
        <v>107</v>
      </c>
      <c r="M52" s="150"/>
      <c r="N52" s="150"/>
      <c r="O52" s="150"/>
      <c r="P52" s="150"/>
      <c r="Q52" s="150"/>
      <c r="R52" s="150"/>
      <c r="S52" s="153"/>
    </row>
    <row r="53" spans="3:19">
      <c r="J53" s="150"/>
      <c r="K53" s="150"/>
      <c r="L53" s="150"/>
      <c r="M53" s="150"/>
      <c r="N53" s="150"/>
      <c r="O53" s="150"/>
      <c r="P53" s="131" t="str">
        <f>L29</f>
        <v>Zone A</v>
      </c>
      <c r="Q53" s="131" t="str">
        <f>O29</f>
        <v>Zone B</v>
      </c>
      <c r="R53" s="131" t="str">
        <f>R29</f>
        <v>Zone C</v>
      </c>
      <c r="S53" s="153"/>
    </row>
    <row r="54" spans="3:19">
      <c r="J54" s="150"/>
      <c r="K54" s="150"/>
      <c r="L54" s="150"/>
      <c r="M54" s="150"/>
      <c r="N54" s="9" t="s">
        <v>108</v>
      </c>
      <c r="O54" s="150" t="s">
        <v>111</v>
      </c>
      <c r="P54" s="157">
        <f>L26</f>
        <v>-4.3691755419741316</v>
      </c>
      <c r="Q54" s="157">
        <f>O26</f>
        <v>-6.1525497237602886</v>
      </c>
      <c r="R54" s="157">
        <f>Q16*8760*3600/1000000000</f>
        <v>0</v>
      </c>
      <c r="S54" s="153"/>
    </row>
    <row r="55" spans="3:19">
      <c r="J55" s="150"/>
      <c r="K55" s="150"/>
      <c r="L55" s="150"/>
      <c r="M55" s="42"/>
      <c r="N55" s="9" t="s">
        <v>113</v>
      </c>
      <c r="O55" s="150" t="s">
        <v>111</v>
      </c>
      <c r="P55" s="156" t="s">
        <v>114</v>
      </c>
      <c r="Q55" s="156" t="s">
        <v>114</v>
      </c>
      <c r="R55" s="157">
        <f>R26</f>
        <v>3.4364117589857286</v>
      </c>
      <c r="S55" s="153"/>
    </row>
    <row r="56" spans="3:19">
      <c r="J56" s="150"/>
      <c r="K56" s="150"/>
      <c r="L56" s="42"/>
      <c r="M56" s="42"/>
      <c r="N56" s="9" t="s">
        <v>109</v>
      </c>
      <c r="O56" s="150" t="s">
        <v>110</v>
      </c>
      <c r="P56" s="158">
        <f>(L17+L21)*8760*3600/1000000000</f>
        <v>-74.470824458025831</v>
      </c>
      <c r="Q56" s="158">
        <f>(O17+O21-L21)*8760*3600/1000000000</f>
        <v>-25.383450276239884</v>
      </c>
      <c r="R56" s="156" t="s">
        <v>114</v>
      </c>
      <c r="S56" s="153"/>
    </row>
    <row r="57" spans="3:19">
      <c r="J57" s="150"/>
      <c r="K57" s="150"/>
      <c r="L57" s="42"/>
      <c r="M57" s="42"/>
      <c r="N57" s="9" t="s">
        <v>112</v>
      </c>
      <c r="O57" s="150" t="s">
        <v>111</v>
      </c>
      <c r="P57" s="156" t="s">
        <v>114</v>
      </c>
      <c r="Q57" s="156" t="s">
        <v>114</v>
      </c>
      <c r="R57" s="158">
        <f>(R17-O21)*8760*3600/1000000000</f>
        <v>47.033667940302692</v>
      </c>
      <c r="S57" s="153"/>
    </row>
    <row r="58" spans="3:19">
      <c r="J58" s="150"/>
      <c r="S58" s="153"/>
    </row>
    <row r="59" spans="3:19">
      <c r="R59" s="115"/>
    </row>
    <row r="61" spans="3:19">
      <c r="C61" s="13"/>
      <c r="D61" s="13"/>
      <c r="E61" s="13"/>
      <c r="F61" s="13"/>
      <c r="G61" s="13"/>
      <c r="H61" s="13"/>
      <c r="I61" s="13"/>
      <c r="R61" s="115"/>
      <c r="S61" s="150"/>
    </row>
    <row r="62" spans="3:19">
      <c r="C62" s="13"/>
      <c r="D62" s="13"/>
      <c r="E62" s="13"/>
      <c r="F62" s="13"/>
      <c r="G62" s="13"/>
      <c r="H62" s="13"/>
      <c r="I62" s="13"/>
    </row>
    <row r="66" spans="18:19">
      <c r="R66" s="131"/>
    </row>
    <row r="67" spans="18:19">
      <c r="R67" s="131"/>
    </row>
    <row r="68" spans="18:19">
      <c r="R68" s="133"/>
    </row>
    <row r="69" spans="18:19">
      <c r="R69" s="133"/>
    </row>
    <row r="72" spans="18:19">
      <c r="R72" s="151"/>
      <c r="S72" s="151"/>
    </row>
    <row r="90" spans="10:10">
      <c r="J90" s="13"/>
    </row>
    <row r="91" spans="10:10">
      <c r="J91" s="13"/>
    </row>
  </sheetData>
  <mergeCells count="2">
    <mergeCell ref="L40:R40"/>
    <mergeCell ref="L48:M48"/>
  </mergeCells>
  <pageMargins left="0.25" right="0.25" top="0.75" bottom="0.75" header="0.3" footer="0.3"/>
  <pageSetup scale="56" orientation="landscape" r:id="rId1"/>
  <headerFooter>
    <oddHeader>&amp;C&amp;F&amp;R&amp;D</oddHead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B9BEC0-98F0-4EB5-920C-987095718F85}">
  <dimension ref="A1:G19"/>
  <sheetViews>
    <sheetView tabSelected="1" workbookViewId="0">
      <selection activeCell="E2" sqref="E2"/>
    </sheetView>
  </sheetViews>
  <sheetFormatPr defaultRowHeight="15"/>
  <cols>
    <col min="1" max="1" width="6.140625" customWidth="1"/>
    <col min="2" max="2" width="36.28515625" bestFit="1" customWidth="1"/>
    <col min="3" max="3" width="26" bestFit="1" customWidth="1"/>
    <col min="5" max="5" width="7.140625" customWidth="1"/>
    <col min="6" max="7" width="15.85546875" bestFit="1" customWidth="1"/>
  </cols>
  <sheetData>
    <row r="1" spans="1:7">
      <c r="A1" s="200" t="s">
        <v>144</v>
      </c>
      <c r="B1" s="200"/>
      <c r="C1" s="200"/>
      <c r="E1" s="200" t="s">
        <v>149</v>
      </c>
      <c r="F1" s="200"/>
      <c r="G1" s="200"/>
    </row>
    <row r="2" spans="1:7">
      <c r="A2" s="150" t="s">
        <v>128</v>
      </c>
      <c r="B2" s="150"/>
      <c r="C2" s="150"/>
      <c r="E2" s="150" t="s">
        <v>145</v>
      </c>
      <c r="F2" s="150"/>
      <c r="G2" s="150"/>
    </row>
    <row r="3" spans="1:7">
      <c r="A3" s="150"/>
      <c r="B3" s="150"/>
      <c r="C3" s="150"/>
      <c r="E3" s="150"/>
      <c r="F3" s="150"/>
      <c r="G3" s="150"/>
    </row>
    <row r="4" spans="1:7">
      <c r="A4" s="150"/>
      <c r="B4" s="150"/>
      <c r="C4" s="150" t="s">
        <v>129</v>
      </c>
      <c r="E4" s="150"/>
      <c r="F4" s="150"/>
      <c r="G4" s="150" t="s">
        <v>146</v>
      </c>
    </row>
    <row r="5" spans="1:7">
      <c r="A5" s="150"/>
      <c r="B5" s="150" t="s">
        <v>130</v>
      </c>
      <c r="C5" s="150">
        <v>97.52</v>
      </c>
      <c r="E5" s="150"/>
      <c r="F5" s="150" t="s">
        <v>147</v>
      </c>
      <c r="G5" s="194">
        <v>50.48</v>
      </c>
    </row>
    <row r="6" spans="1:7">
      <c r="A6" s="150"/>
      <c r="B6" s="150" t="s">
        <v>131</v>
      </c>
      <c r="C6" s="150">
        <v>47.04</v>
      </c>
    </row>
    <row r="7" spans="1:7">
      <c r="A7" s="150"/>
      <c r="B7" s="150" t="s">
        <v>132</v>
      </c>
      <c r="C7" s="150">
        <v>0</v>
      </c>
    </row>
    <row r="8" spans="1:7">
      <c r="A8" s="150"/>
      <c r="B8" s="150" t="s">
        <v>133</v>
      </c>
      <c r="C8" s="150">
        <v>0</v>
      </c>
    </row>
    <row r="9" spans="1:7">
      <c r="A9" s="150"/>
      <c r="B9" s="150" t="s">
        <v>134</v>
      </c>
      <c r="C9" s="150">
        <v>0</v>
      </c>
    </row>
    <row r="10" spans="1:7">
      <c r="A10" s="150"/>
      <c r="B10" s="150" t="s">
        <v>135</v>
      </c>
      <c r="C10" s="150">
        <v>47.04</v>
      </c>
    </row>
    <row r="11" spans="1:7">
      <c r="A11" s="150"/>
      <c r="B11" s="150" t="s">
        <v>136</v>
      </c>
      <c r="C11" s="150">
        <v>0</v>
      </c>
    </row>
    <row r="12" spans="1:7">
      <c r="A12" s="150"/>
      <c r="B12" s="150" t="s">
        <v>137</v>
      </c>
      <c r="C12" s="150">
        <v>0</v>
      </c>
    </row>
    <row r="13" spans="1:7">
      <c r="A13" s="150"/>
      <c r="B13" s="150" t="s">
        <v>138</v>
      </c>
      <c r="C13" s="150">
        <v>0</v>
      </c>
    </row>
    <row r="14" spans="1:7">
      <c r="A14" s="150"/>
      <c r="B14" s="150" t="s">
        <v>139</v>
      </c>
      <c r="C14" s="150">
        <v>0</v>
      </c>
    </row>
    <row r="15" spans="1:7">
      <c r="A15" s="150"/>
      <c r="B15" s="150" t="s">
        <v>140</v>
      </c>
      <c r="C15" s="150">
        <v>47.04</v>
      </c>
    </row>
    <row r="16" spans="1:7">
      <c r="A16" s="150"/>
      <c r="B16" s="150" t="s">
        <v>141</v>
      </c>
      <c r="C16" s="150">
        <v>0</v>
      </c>
    </row>
    <row r="17" spans="1:3">
      <c r="A17" s="150"/>
      <c r="B17" s="150" t="s">
        <v>142</v>
      </c>
      <c r="C17" s="150">
        <v>47.04</v>
      </c>
    </row>
    <row r="18" spans="1:3">
      <c r="A18" s="150"/>
      <c r="B18" s="150" t="s">
        <v>127</v>
      </c>
      <c r="C18" s="194">
        <v>50.48</v>
      </c>
    </row>
    <row r="19" spans="1:3">
      <c r="A19" s="150"/>
      <c r="B19" s="150" t="s">
        <v>143</v>
      </c>
      <c r="C19" s="150">
        <v>50.48</v>
      </c>
    </row>
  </sheetData>
  <mergeCells count="2">
    <mergeCell ref="A1:C1"/>
    <mergeCell ref="E1:G1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151EB7-ADAB-4023-97FC-3FD8916C7F17}">
  <dimension ref="A1:I1"/>
  <sheetViews>
    <sheetView workbookViewId="0">
      <selection activeCell="F32" sqref="F32"/>
    </sheetView>
  </sheetViews>
  <sheetFormatPr defaultRowHeight="15"/>
  <sheetData>
    <row r="1" spans="1:9" ht="49.5" customHeight="1">
      <c r="A1" s="201" t="s">
        <v>148</v>
      </c>
      <c r="B1" s="201"/>
      <c r="C1" s="201"/>
      <c r="D1" s="201"/>
      <c r="E1" s="201"/>
      <c r="F1" s="201"/>
      <c r="G1" s="201"/>
      <c r="H1" s="201"/>
      <c r="I1" s="201"/>
    </row>
  </sheetData>
  <mergeCells count="1">
    <mergeCell ref="A1:I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26</vt:i4>
      </vt:variant>
    </vt:vector>
  </HeadingPairs>
  <TitlesOfParts>
    <vt:vector size="29" baseType="lpstr">
      <vt:lpstr>MZ320air</vt:lpstr>
      <vt:lpstr>EPlusResultTables</vt:lpstr>
      <vt:lpstr>Reference</vt:lpstr>
      <vt:lpstr>ACR</vt:lpstr>
      <vt:lpstr>Cp_air</vt:lpstr>
      <vt:lpstr>dt_sec</vt:lpstr>
      <vt:lpstr>mdot</vt:lpstr>
      <vt:lpstr>mdot_OAtoC</vt:lpstr>
      <vt:lpstr>MZ320air!Print_Area</vt:lpstr>
      <vt:lpstr>qintA</vt:lpstr>
      <vt:lpstr>qintB</vt:lpstr>
      <vt:lpstr>qintC</vt:lpstr>
      <vt:lpstr>QmixEp_AB</vt:lpstr>
      <vt:lpstr>QmixEp_BC</vt:lpstr>
      <vt:lpstr>Rat</vt:lpstr>
      <vt:lpstr>RHO_A</vt:lpstr>
      <vt:lpstr>RHO_B</vt:lpstr>
      <vt:lpstr>RHO_C</vt:lpstr>
      <vt:lpstr>RHOoa</vt:lpstr>
      <vt:lpstr>RHOstdEplus</vt:lpstr>
      <vt:lpstr>Tout</vt:lpstr>
      <vt:lpstr>TzoneA</vt:lpstr>
      <vt:lpstr>TzoneB</vt:lpstr>
      <vt:lpstr>TzoneC</vt:lpstr>
      <vt:lpstr>UAcom</vt:lpstr>
      <vt:lpstr>UAextAC</vt:lpstr>
      <vt:lpstr>UAextB</vt:lpstr>
      <vt:lpstr>UextB</vt:lpstr>
      <vt:lpstr>Vzone</vt:lpstr>
    </vt:vector>
  </TitlesOfParts>
  <Company>NIST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Dols, William Stuart</dc:creator>
  <cp:lastModifiedBy>Dols, William Stuart (Fed)</cp:lastModifiedBy>
  <cp:lastPrinted>2014-07-11T22:43:18Z</cp:lastPrinted>
  <dcterms:created xsi:type="dcterms:W3CDTF">2014-05-07T20:05:58Z</dcterms:created>
  <dcterms:modified xsi:type="dcterms:W3CDTF">2022-12-09T20:07:19Z</dcterms:modified>
</cp:coreProperties>
</file>